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gério\ANM\BA\PROCESSO ATUALIZADO\"/>
    </mc:Choice>
  </mc:AlternateContent>
  <xr:revisionPtr revIDLastSave="0" documentId="13_ncr:1_{8F39085C-2B88-43E2-81DE-F471E3EF7243}" xr6:coauthVersionLast="44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RESUMO" sheetId="6" r:id="rId1"/>
    <sheet name="PLANILHA ORÇAMENTÁRIA" sheetId="1" r:id="rId2"/>
    <sheet name="CRONOGRAMA" sheetId="2" r:id="rId3"/>
    <sheet name="TAD" sheetId="3" r:id="rId4"/>
    <sheet name="BDI NORMAL" sheetId="4" r:id="rId5"/>
    <sheet name="COMPOSIÇÃO PRÓPRIA " sheetId="5" r:id="rId6"/>
    <sheet name="CURVA ABC" sheetId="9" r:id="rId7"/>
  </sheets>
  <externalReferences>
    <externalReference r:id="rId8"/>
  </externalReferences>
  <definedNames>
    <definedName name="BDI">[1]BDI!$F$9</definedName>
    <definedName name="BDIR">[1]BDI!$F$23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8" i="9" l="1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7" i="9"/>
  <c r="Q8" i="9" l="1"/>
  <c r="P7" i="9"/>
  <c r="P8" i="9"/>
  <c r="P9" i="9"/>
  <c r="Q7" i="9"/>
  <c r="Q9" i="9"/>
  <c r="G31" i="9" l="1"/>
  <c r="H31" i="9" s="1"/>
  <c r="E31" i="9"/>
  <c r="G24" i="9"/>
  <c r="C24" i="9"/>
  <c r="E24" i="9" s="1"/>
  <c r="D30" i="9"/>
  <c r="C30" i="9"/>
  <c r="D11" i="9"/>
  <c r="G11" i="9" s="1"/>
  <c r="C11" i="9"/>
  <c r="G18" i="9"/>
  <c r="C18" i="9"/>
  <c r="E18" i="9" s="1"/>
  <c r="G23" i="9"/>
  <c r="C23" i="9"/>
  <c r="E23" i="9" s="1"/>
  <c r="G28" i="9"/>
  <c r="C28" i="9"/>
  <c r="E28" i="9" s="1"/>
  <c r="G10" i="9"/>
  <c r="C10" i="9"/>
  <c r="E10" i="9" s="1"/>
  <c r="G36" i="9"/>
  <c r="H36" i="9" s="1"/>
  <c r="E36" i="9"/>
  <c r="G14" i="9"/>
  <c r="C14" i="9"/>
  <c r="E14" i="9" s="1"/>
  <c r="G15" i="9"/>
  <c r="C15" i="9"/>
  <c r="E15" i="9" s="1"/>
  <c r="G8" i="9"/>
  <c r="C8" i="9"/>
  <c r="E8" i="9" s="1"/>
  <c r="G16" i="9"/>
  <c r="C16" i="9"/>
  <c r="E16" i="9" s="1"/>
  <c r="G13" i="9"/>
  <c r="C13" i="9"/>
  <c r="E13" i="9" s="1"/>
  <c r="G22" i="9"/>
  <c r="C22" i="9"/>
  <c r="E22" i="9" s="1"/>
  <c r="G32" i="9"/>
  <c r="C32" i="9"/>
  <c r="E32" i="9" s="1"/>
  <c r="G9" i="9"/>
  <c r="C9" i="9"/>
  <c r="E9" i="9" s="1"/>
  <c r="G35" i="9"/>
  <c r="H35" i="9" s="1"/>
  <c r="E35" i="9"/>
  <c r="G12" i="9"/>
  <c r="C12" i="9"/>
  <c r="E12" i="9" s="1"/>
  <c r="G7" i="9"/>
  <c r="C7" i="9"/>
  <c r="E7" i="9" s="1"/>
  <c r="G37" i="9"/>
  <c r="D17" i="9"/>
  <c r="C17" i="9"/>
  <c r="G21" i="9"/>
  <c r="C21" i="9"/>
  <c r="E21" i="9" s="1"/>
  <c r="G20" i="9"/>
  <c r="G26" i="9"/>
  <c r="C26" i="9"/>
  <c r="E26" i="9" s="1"/>
  <c r="G27" i="9"/>
  <c r="C27" i="9"/>
  <c r="E27" i="9" s="1"/>
  <c r="G25" i="9"/>
  <c r="G29" i="9"/>
  <c r="D38" i="9"/>
  <c r="C38" i="9"/>
  <c r="G19" i="9"/>
  <c r="C19" i="9"/>
  <c r="E19" i="9" s="1"/>
  <c r="D33" i="9"/>
  <c r="C33" i="9"/>
  <c r="G34" i="9"/>
  <c r="C34" i="9"/>
  <c r="C37" i="9" l="1"/>
  <c r="E37" i="9" s="1"/>
  <c r="H19" i="9"/>
  <c r="H26" i="9"/>
  <c r="H8" i="9"/>
  <c r="H10" i="9"/>
  <c r="H11" i="9"/>
  <c r="H12" i="9"/>
  <c r="H15" i="9"/>
  <c r="H28" i="9"/>
  <c r="H23" i="9"/>
  <c r="E33" i="9"/>
  <c r="H9" i="9"/>
  <c r="H16" i="9"/>
  <c r="H22" i="9"/>
  <c r="H24" i="9"/>
  <c r="G33" i="9"/>
  <c r="H33" i="9" s="1"/>
  <c r="E17" i="9"/>
  <c r="H27" i="9"/>
  <c r="G17" i="9"/>
  <c r="H17" i="9" s="1"/>
  <c r="H13" i="9"/>
  <c r="H18" i="9"/>
  <c r="H34" i="9"/>
  <c r="H7" i="9"/>
  <c r="H14" i="9"/>
  <c r="E38" i="9"/>
  <c r="H32" i="9"/>
  <c r="E30" i="9"/>
  <c r="H37" i="9"/>
  <c r="E34" i="9"/>
  <c r="H21" i="9"/>
  <c r="G38" i="9"/>
  <c r="H38" i="9" s="1"/>
  <c r="G30" i="9"/>
  <c r="H30" i="9" s="1"/>
  <c r="E11" i="9"/>
  <c r="C20" i="9"/>
  <c r="E20" i="9" s="1"/>
  <c r="H20" i="9" l="1"/>
  <c r="F14" i="3" l="1"/>
  <c r="J68" i="5" l="1"/>
  <c r="J67" i="5"/>
  <c r="J66" i="5"/>
  <c r="J65" i="5"/>
  <c r="J64" i="5"/>
  <c r="J63" i="5"/>
  <c r="J57" i="5"/>
  <c r="J56" i="5"/>
  <c r="J55" i="5"/>
  <c r="J54" i="5"/>
  <c r="J53" i="5"/>
  <c r="J52" i="5"/>
  <c r="J51" i="5"/>
  <c r="J50" i="5"/>
  <c r="J44" i="5"/>
  <c r="H44" i="5"/>
  <c r="J43" i="5"/>
  <c r="J42" i="5"/>
  <c r="J41" i="5"/>
  <c r="J40" i="5"/>
  <c r="J39" i="5"/>
  <c r="J33" i="5"/>
  <c r="J32" i="5"/>
  <c r="J31" i="5"/>
  <c r="J30" i="5"/>
  <c r="J29" i="5"/>
  <c r="J28" i="5"/>
  <c r="J22" i="5"/>
  <c r="J21" i="5"/>
  <c r="J20" i="5"/>
  <c r="J19" i="5"/>
  <c r="J18" i="5"/>
  <c r="J17" i="5"/>
  <c r="D21" i="4"/>
  <c r="K15" i="3"/>
  <c r="F15" i="3"/>
  <c r="I15" i="3" s="1"/>
  <c r="K14" i="3"/>
  <c r="L14" i="3" s="1"/>
  <c r="I14" i="3"/>
  <c r="N15" i="2"/>
  <c r="N12" i="2"/>
  <c r="N9" i="2"/>
  <c r="K51" i="1"/>
  <c r="L51" i="1" s="1"/>
  <c r="I51" i="1"/>
  <c r="K50" i="1"/>
  <c r="L50" i="1" s="1"/>
  <c r="I50" i="1"/>
  <c r="F50" i="1"/>
  <c r="F49" i="1"/>
  <c r="F48" i="1"/>
  <c r="K45" i="1"/>
  <c r="F45" i="1"/>
  <c r="I45" i="1" s="1"/>
  <c r="K44" i="1"/>
  <c r="F44" i="1"/>
  <c r="I44" i="1" s="1"/>
  <c r="K43" i="1"/>
  <c r="F43" i="1"/>
  <c r="K42" i="1"/>
  <c r="L42" i="1" s="1"/>
  <c r="F42" i="1"/>
  <c r="I42" i="1" s="1"/>
  <c r="K41" i="1"/>
  <c r="L41" i="1" s="1"/>
  <c r="I41" i="1"/>
  <c r="K40" i="1"/>
  <c r="F40" i="1"/>
  <c r="I40" i="1" s="1"/>
  <c r="K39" i="1"/>
  <c r="F39" i="1"/>
  <c r="I39" i="1" s="1"/>
  <c r="K38" i="1"/>
  <c r="F38" i="1"/>
  <c r="K36" i="1"/>
  <c r="L36" i="1" s="1"/>
  <c r="F36" i="1"/>
  <c r="I36" i="1" s="1"/>
  <c r="K35" i="1"/>
  <c r="F35" i="1"/>
  <c r="I35" i="1" s="1"/>
  <c r="K34" i="1"/>
  <c r="L34" i="1" s="1"/>
  <c r="F34" i="1"/>
  <c r="I34" i="1" s="1"/>
  <c r="K33" i="1"/>
  <c r="L33" i="1" s="1"/>
  <c r="F33" i="1"/>
  <c r="I33" i="1" s="1"/>
  <c r="K32" i="1"/>
  <c r="F32" i="1"/>
  <c r="I32" i="1" s="1"/>
  <c r="K31" i="1"/>
  <c r="L31" i="1" s="1"/>
  <c r="I31" i="1"/>
  <c r="K30" i="1"/>
  <c r="F30" i="1"/>
  <c r="I30" i="1" s="1"/>
  <c r="K29" i="1"/>
  <c r="F29" i="1"/>
  <c r="I29" i="1" s="1"/>
  <c r="K25" i="1"/>
  <c r="F24" i="1"/>
  <c r="K23" i="1"/>
  <c r="L23" i="1" s="1"/>
  <c r="F23" i="1"/>
  <c r="I23" i="1" s="1"/>
  <c r="K22" i="1"/>
  <c r="K21" i="1"/>
  <c r="F21" i="1"/>
  <c r="I21" i="1" s="1"/>
  <c r="K20" i="1"/>
  <c r="F20" i="1"/>
  <c r="I20" i="1" s="1"/>
  <c r="K19" i="1"/>
  <c r="K18" i="1"/>
  <c r="F17" i="1"/>
  <c r="K16" i="1"/>
  <c r="F16" i="1"/>
  <c r="I16" i="1" s="1"/>
  <c r="F15" i="1"/>
  <c r="K14" i="1"/>
  <c r="F14" i="1"/>
  <c r="F18" i="1" s="1"/>
  <c r="J34" i="5" l="1"/>
  <c r="H17" i="1" s="1"/>
  <c r="I17" i="1" s="1"/>
  <c r="J69" i="5"/>
  <c r="H49" i="1" s="1"/>
  <c r="K49" i="1" s="1"/>
  <c r="L49" i="1" s="1"/>
  <c r="J58" i="5"/>
  <c r="H48" i="1" s="1"/>
  <c r="I48" i="1" s="1"/>
  <c r="L43" i="1"/>
  <c r="J45" i="5"/>
  <c r="H24" i="1" s="1"/>
  <c r="K24" i="1" s="1"/>
  <c r="L24" i="1" s="1"/>
  <c r="L44" i="1"/>
  <c r="L14" i="1"/>
  <c r="L20" i="1"/>
  <c r="L32" i="1"/>
  <c r="L39" i="1"/>
  <c r="L21" i="1"/>
  <c r="J23" i="5"/>
  <c r="H15" i="1" s="1"/>
  <c r="I15" i="1" s="1"/>
  <c r="L35" i="1"/>
  <c r="L45" i="1"/>
  <c r="L15" i="3"/>
  <c r="L16" i="3" s="1"/>
  <c r="L29" i="1"/>
  <c r="L16" i="1"/>
  <c r="L40" i="1"/>
  <c r="L30" i="1"/>
  <c r="L38" i="1"/>
  <c r="L18" i="1"/>
  <c r="I18" i="1"/>
  <c r="F19" i="1"/>
  <c r="I19" i="1" s="1"/>
  <c r="I16" i="3"/>
  <c r="L17" i="3" s="1"/>
  <c r="I14" i="1"/>
  <c r="F22" i="1"/>
  <c r="I22" i="1" s="1"/>
  <c r="F25" i="1"/>
  <c r="I25" i="1" s="1"/>
  <c r="I38" i="1"/>
  <c r="I43" i="1"/>
  <c r="K17" i="1" l="1"/>
  <c r="L17" i="1" s="1"/>
  <c r="L19" i="3"/>
  <c r="L18" i="3" s="1"/>
  <c r="D9" i="6"/>
  <c r="I49" i="1"/>
  <c r="I52" i="1" s="1"/>
  <c r="K48" i="1"/>
  <c r="L48" i="1" s="1"/>
  <c r="L52" i="1" s="1"/>
  <c r="I46" i="1"/>
  <c r="L46" i="1"/>
  <c r="N14" i="2" s="1"/>
  <c r="I24" i="1"/>
  <c r="I26" i="1" s="1"/>
  <c r="K15" i="1"/>
  <c r="L15" i="1" s="1"/>
  <c r="L22" i="1"/>
  <c r="L19" i="1"/>
  <c r="L25" i="1"/>
  <c r="M53" i="1" l="1"/>
  <c r="N17" i="2"/>
  <c r="L26" i="1"/>
  <c r="M14" i="2"/>
  <c r="L14" i="2"/>
  <c r="K14" i="2"/>
  <c r="J14" i="2"/>
  <c r="I14" i="2"/>
  <c r="F14" i="2"/>
  <c r="H14" i="2"/>
  <c r="G14" i="2"/>
  <c r="N11" i="2" l="1"/>
  <c r="N18" i="2" s="1"/>
  <c r="K17" i="2"/>
  <c r="J17" i="2"/>
  <c r="I17" i="2"/>
  <c r="H17" i="2"/>
  <c r="G17" i="2"/>
  <c r="L17" i="2"/>
  <c r="F17" i="2"/>
  <c r="M17" i="2"/>
  <c r="M54" i="1"/>
  <c r="M55" i="1" s="1"/>
  <c r="M26" i="1" l="1"/>
  <c r="D8" i="6"/>
  <c r="D10" i="6" s="1"/>
  <c r="L20" i="3"/>
  <c r="L21" i="3" s="1"/>
  <c r="E19" i="2" s="1"/>
  <c r="M42" i="1"/>
  <c r="M36" i="1"/>
  <c r="M21" i="1"/>
  <c r="M41" i="1"/>
  <c r="M34" i="1"/>
  <c r="M23" i="1"/>
  <c r="M50" i="1"/>
  <c r="M44" i="1"/>
  <c r="M35" i="1"/>
  <c r="M32" i="1"/>
  <c r="M51" i="1"/>
  <c r="M14" i="1"/>
  <c r="M49" i="1"/>
  <c r="M20" i="1"/>
  <c r="M43" i="1"/>
  <c r="M40" i="1"/>
  <c r="M16" i="1"/>
  <c r="M39" i="1"/>
  <c r="M30" i="1"/>
  <c r="M45" i="1"/>
  <c r="M33" i="1"/>
  <c r="M38" i="1"/>
  <c r="M29" i="1"/>
  <c r="M31" i="1"/>
  <c r="M15" i="1"/>
  <c r="M24" i="1"/>
  <c r="M48" i="1"/>
  <c r="M18" i="1"/>
  <c r="M46" i="1"/>
  <c r="M17" i="1"/>
  <c r="M25" i="1"/>
  <c r="M19" i="1"/>
  <c r="M22" i="1"/>
  <c r="M52" i="1"/>
  <c r="G11" i="2"/>
  <c r="F11" i="2"/>
  <c r="M11" i="2"/>
  <c r="L11" i="2"/>
  <c r="K11" i="2"/>
  <c r="H11" i="2"/>
  <c r="J11" i="2"/>
  <c r="I11" i="2"/>
  <c r="J18" i="2" l="1"/>
  <c r="J19" i="2" s="1"/>
  <c r="F18" i="2"/>
  <c r="F19" i="2" l="1"/>
  <c r="F20" i="2" s="1"/>
  <c r="J20" i="2" s="1"/>
  <c r="C25" i="9" l="1"/>
  <c r="C29" i="9" s="1"/>
  <c r="H29" i="9" l="1"/>
  <c r="E29" i="9"/>
  <c r="E25" i="9"/>
  <c r="H25" i="9"/>
  <c r="H39" i="9" l="1"/>
  <c r="I31" i="9" l="1"/>
  <c r="I36" i="9"/>
  <c r="I35" i="9"/>
  <c r="I37" i="9"/>
  <c r="I22" i="9"/>
  <c r="I23" i="9"/>
  <c r="I33" i="9"/>
  <c r="I38" i="9"/>
  <c r="I19" i="9"/>
  <c r="I7" i="9"/>
  <c r="J7" i="9" s="1"/>
  <c r="I34" i="9"/>
  <c r="I28" i="9"/>
  <c r="I17" i="9"/>
  <c r="I21" i="9"/>
  <c r="I16" i="9"/>
  <c r="I15" i="9"/>
  <c r="I13" i="9"/>
  <c r="I8" i="9"/>
  <c r="J8" i="9" s="1"/>
  <c r="I10" i="9"/>
  <c r="I24" i="9"/>
  <c r="I11" i="9"/>
  <c r="I32" i="9"/>
  <c r="I12" i="9"/>
  <c r="I30" i="9"/>
  <c r="I18" i="9"/>
  <c r="I27" i="9"/>
  <c r="I26" i="9"/>
  <c r="I9" i="9"/>
  <c r="I14" i="9"/>
  <c r="I20" i="9"/>
  <c r="I25" i="9"/>
  <c r="I29" i="9"/>
  <c r="J9" i="9" l="1"/>
  <c r="J10" i="9"/>
  <c r="J11" i="9" s="1"/>
  <c r="J12" i="9" s="1"/>
  <c r="J13" i="9" s="1"/>
  <c r="J14" i="9" s="1"/>
  <c r="J15" i="9" s="1"/>
  <c r="J16" i="9" s="1"/>
  <c r="J17" i="9" s="1"/>
  <c r="J18" i="9" s="1"/>
  <c r="J19" i="9" s="1"/>
  <c r="J20" i="9" s="1"/>
  <c r="J21" i="9" s="1"/>
  <c r="J22" i="9" s="1"/>
  <c r="J23" i="9" s="1"/>
  <c r="J24" i="9" s="1"/>
  <c r="J25" i="9" s="1"/>
  <c r="J26" i="9" s="1"/>
  <c r="J27" i="9" s="1"/>
  <c r="J28" i="9" s="1"/>
  <c r="J29" i="9" s="1"/>
  <c r="J30" i="9" s="1"/>
  <c r="J31" i="9" s="1"/>
  <c r="J32" i="9" s="1"/>
  <c r="J33" i="9" s="1"/>
  <c r="J34" i="9" s="1"/>
  <c r="J35" i="9" s="1"/>
  <c r="J36" i="9" s="1"/>
  <c r="J37" i="9" s="1"/>
  <c r="J38" i="9" s="1"/>
</calcChain>
</file>

<file path=xl/sharedStrings.xml><?xml version="1.0" encoding="utf-8"?>
<sst xmlns="http://schemas.openxmlformats.org/spreadsheetml/2006/main" count="603" uniqueCount="294">
  <si>
    <t>AGÊNCIA NACIONAL DE MINERAÇÃO - ANM</t>
  </si>
  <si>
    <t xml:space="preserve">ORÇAMENTO CORTINA DE CONTENÇÃO </t>
  </si>
  <si>
    <t>ITEM</t>
  </si>
  <si>
    <t>BASE</t>
  </si>
  <si>
    <t>CÓDIGO</t>
  </si>
  <si>
    <t>DISCRIMINAÇÃO ORÇAMENTÁRIA</t>
  </si>
  <si>
    <t>UNIDADE</t>
  </si>
  <si>
    <t>QUANT.</t>
  </si>
  <si>
    <t>MEMÓRIA DE CÁLCULO</t>
  </si>
  <si>
    <t>VALOR UNITÁRIO SEM BDI</t>
  </si>
  <si>
    <t>VALOR TOTAL SEM BDI</t>
  </si>
  <si>
    <t>BDI</t>
  </si>
  <si>
    <t>VALOR UNIT. COM BDI</t>
  </si>
  <si>
    <t>VALOR TOTAL COM BDI</t>
  </si>
  <si>
    <t>% DO VALOR TOTAL</t>
  </si>
  <si>
    <t>SERVIÇOS PRELIMINARES E FINAL</t>
  </si>
  <si>
    <t>1.1</t>
  </si>
  <si>
    <t>SINAPI</t>
  </si>
  <si>
    <t>98524</t>
  </si>
  <si>
    <t>LIMPEZA MANUAL DE VEGETAÇÃO EM TERRENO COM ENXADA</t>
  </si>
  <si>
    <t>M2</t>
  </si>
  <si>
    <t>SOMAGEM DAS AREAS DOS PAINEIS  ((((5+6)*10,6)/2)+(((5+1)*12,04)/2)+(((1+6)*9,24)/2))+((((5+6)*9,74)/2)+(((5+1)*5,37)/2)+(((1+6)*6,87)/2))</t>
  </si>
  <si>
    <t>1.2</t>
  </si>
  <si>
    <t>COMP</t>
  </si>
  <si>
    <t>001</t>
  </si>
  <si>
    <t>PLACA DE OBRA</t>
  </si>
  <si>
    <t>1,8*1,1</t>
  </si>
  <si>
    <t>1.3</t>
  </si>
  <si>
    <t>93584</t>
  </si>
  <si>
    <t>EXECUÇÃO DE DEPÓSITO EM CANTEIRO DE OBRA EM CHAPA DE MADEIRA COMPENSADA, NÃO INCLUSO MOBILIÁRIO.</t>
  </si>
  <si>
    <t>DEPOSITO DIMENSIONADO EM 2,5*3</t>
  </si>
  <si>
    <t>1.4</t>
  </si>
  <si>
    <t>002</t>
  </si>
  <si>
    <t>EQUIPE DE TOPOGRAFIA COMPOSTA DE 1 TOPOGRAFO. AUXILIAR DE TOPOGRAFIA, TEODOLITO E DEMAIS ACESSÓRIOS, INCLUINDO DESENHO</t>
  </si>
  <si>
    <t>H</t>
  </si>
  <si>
    <t>SOMATORIA DAS ÁREAS FEITA NO CAD (94,35+193,08)</t>
  </si>
  <si>
    <t>1.5</t>
  </si>
  <si>
    <t>101114</t>
  </si>
  <si>
    <t>ESCAVAÇÃO HORIZONTAL EM SOLO DE 1A CATEGORIA COM TRATOR DE ESTEIRAS (100HP/LÂMINA: 2,19M3).</t>
  </si>
  <si>
    <t>M3</t>
  </si>
  <si>
    <t>AREA DAS FACES DO PAINEIS * ESPESSURA DE ESCAVAÇÃO ((((5+1)*12,04)/2)+(((1+6)*9,24)/2))+((((5+6)*9,74)/2)+(((5+1)*5,37)/2)+(((1+6)*6,87)/2)))*1</t>
  </si>
  <si>
    <t>1.6</t>
  </si>
  <si>
    <t>100973</t>
  </si>
  <si>
    <t>CARGA, MANOBRA E DESCARGA DE SOLOS E MATERIAIS GRANULARES EM CAMINHÃO M3 BASCULANTE 6 M³ - CARGA COM PÁ CARREGADEIRA</t>
  </si>
  <si>
    <t>AREA DAS FACES DO PAINEIS * ESPESSURA DE ESCAVAÇÃO ADICIONADO 10% DE EMPOLAÇÃO DO SOLO ((((5+1)*12,04)/2)+(((1+6)*9,24)/2))+((((5+6)*9,74)/2)+(((5+1)*5,37)/2)+(((1+6)*6,87)/2)))*1*1,1</t>
  </si>
  <si>
    <t>1.7</t>
  </si>
  <si>
    <t>96385</t>
  </si>
  <si>
    <t>EXECUÇÃO E COMPACTAÇÃO DE ATERRO COM SOLO PREDOMINANTEMENTE ARGILOSO – EXCLUSIVE SOLO, ESCAVAÇÃO, CARGA E TRANSPORTE.</t>
  </si>
  <si>
    <t>MULTIPLICAÇÃO DA LARGURA* COMPRIMENTO DO CORTE DO ATERRO * ESPESSURA DE COMPACTAÇÃO 0,2 (2,(2,86*1,5)+(8*1,5)+(2,91*1,68)+(8*1,5)+(2,99*1,68)+(16*1,5)+(2,93*1,68)+(16*1,5)+(3,14*1,64)+(16*1,5)+(2,96*1,68)+(16*1,5)+(1,5*1,7)</t>
  </si>
  <si>
    <t>1.8</t>
  </si>
  <si>
    <t>97914</t>
  </si>
  <si>
    <t>TRANSPORTE COM CAMINHÃO BASCULANTE DE 6 M³, EM VIA URBANA PAVIMENTADA,  ATÉ 30 KM (UNIDADE: M3XKM).</t>
  </si>
  <si>
    <t>M3xKM</t>
  </si>
  <si>
    <t>PRODUTO  DA QUANTIDADE DE ATERRO ESCAVADO * DISTANCIA PERCORRIDA ESTIMADA (3KM) (220,49*3)</t>
  </si>
  <si>
    <t>1.9</t>
  </si>
  <si>
    <t>00039323</t>
  </si>
  <si>
    <t>MANTA GEOTEXTIL TECIDO DE LAMINETES DE POLIPROPILENO, RESISTENCIA A TRACAO = *25* KN/M</t>
  </si>
  <si>
    <t>SOMATÓRIA DAS ÁREAS DE APLICAÇÃO DO CONCRETO (((5+1)*12,04)/2)+(((1+6)*9,24)/2))+((((5+6)*9,74)/2)+(((5+1)*5,37)/2)+(((1+6)*6,87)/2))</t>
  </si>
  <si>
    <t>1.10</t>
  </si>
  <si>
    <t>97913</t>
  </si>
  <si>
    <t>TRANSPORTE COM CAMINHÃO BASCULANTE DE 6 M³, EM VIA URBANA EM REVESTIME NTO PRIMÁRIO (UNIDADE: M3XKM).</t>
  </si>
  <si>
    <t>PRODUTO  DA QUANTIDADE DECONCRETO CALCULADO * DISTANCIA PERCORRIDA ESTIMADA (3KM) ((32,96+24,37)*30)</t>
  </si>
  <si>
    <t>1.11</t>
  </si>
  <si>
    <t>003</t>
  </si>
  <si>
    <t>TESTE DE FLUENCIA, RECEBIMENTO E QUALIFICAÇÃO</t>
  </si>
  <si>
    <t>UN</t>
  </si>
  <si>
    <t>SOMATÓRIA DA QUANTIDADE DE TIRANTES DO PROJETO : PAINEL1= 18 + PAINEL 2= 14</t>
  </si>
  <si>
    <t>1.12</t>
  </si>
  <si>
    <t>99814</t>
  </si>
  <si>
    <t>LIMPEZA DE SUPERFÍCIE COM JATO DE ALTA PRESSÃO</t>
  </si>
  <si>
    <t>TOTAL PARCIAL</t>
  </si>
  <si>
    <t>MURO DE CONTENÇÃO</t>
  </si>
  <si>
    <t>PAINEL 1</t>
  </si>
  <si>
    <t>2.1</t>
  </si>
  <si>
    <t>100344</t>
  </si>
  <si>
    <t>ARMAÇÃO DE CORTINA DE CONTENÇÃO EM CONCRETO ARMADO, COM AÇO CA-50 DE 10 MM – MONTAGEM</t>
  </si>
  <si>
    <t>KG</t>
  </si>
  <si>
    <t>SOMA DO COMPRIMENTO DA VARA * KG/M DO AÇO 10 MM + 10% (1192,8+54,1+1168,56+214,2+243,6+677,12+236,5+264,88+187,68+213,44+1374,56+300+440,64+246,84+280,72)*0,617*1,1</t>
  </si>
  <si>
    <t>2.2</t>
  </si>
  <si>
    <t>100349</t>
  </si>
  <si>
    <t>CONCRETAGEM DE CORTINA DE CONTENÇÃO, ATRAVÉS DE BOMBA LANÇAMENTO, ADENSAMENTO E ACABAMENTO.</t>
  </si>
  <si>
    <t>SOMATORIA DA ÁREA DOS PAINEIS  * ESPESSURA DA CORTINA ((((5+6)*10,6)/2)+(((5+1)*12,04)/2)+(((1+6)*9,24)/2))*0,26</t>
  </si>
  <si>
    <t>2.3</t>
  </si>
  <si>
    <t>95108</t>
  </si>
  <si>
    <t>EXECUÇÃO DE PROTEÇÃO DA CABEÇA DO TIRANTE COM USO DE FÔRMAS EM CHAPA COMPENSADA PLASTIFICADA DE MADEIRA E CONCRETO FCK =15 MPA.</t>
  </si>
  <si>
    <t>QUANTIDADE DE TIRANTES DESCRITOS NO PROJETO (18)</t>
  </si>
  <si>
    <t>2.4</t>
  </si>
  <si>
    <t>93971</t>
  </si>
  <si>
    <t>EXECUÇÃO DE GRAMPO PARA SOLO GRAMPEADO COM COMPRIMENTO MAIOR QUE 10 M, DIÂMETRO DE 7 CM, PERFURAÇÃO COM EQUIPAMENTO MANUAL E ARMADURA COM DIÂMETRO DE 20 MM.</t>
  </si>
  <si>
    <t>M</t>
  </si>
  <si>
    <t>SOMATORIA DA METRAGEM DO GRAMPOS * QUANTIDADE DE GRAMPOS (10,75*18)</t>
  </si>
  <si>
    <t>2.5</t>
  </si>
  <si>
    <t>98575</t>
  </si>
  <si>
    <t>TRATAMENTO DE JUNTA DE DILATAÇÃO, COM TARUGO DE POLIETILENO E SELANTE, INCLUSO PREENCHIMENTO COM ESPUMA EXPANSIVA PU.</t>
  </si>
  <si>
    <t>SOMATORIA DAS JUNTAS DE DILATAÇÃO (6,14+4,20)</t>
  </si>
  <si>
    <t>2.6</t>
  </si>
  <si>
    <t>100341</t>
  </si>
  <si>
    <t>FABRICAÇÃO, MONTAGEM E DESMONTAGEM DE FÔRMA PARA CORTINA DE CONTENÇÃO, EM CHAPA DE MADEIRA COMPENSADA PLASTIFICADA, E = 18 MM, 10 UTILIZAÇÕES. (INCLUSO ESCORAMENTO)</t>
  </si>
  <si>
    <t>SOMATORIA DAS AREAS DA FACE DO MURO DE CONTENÇÃO ((((5+6)*10,6)/2)+(((5+1)*12,04)/2)+(((1+6)*9,24)/2))</t>
  </si>
  <si>
    <t>2.7</t>
  </si>
  <si>
    <t>100346</t>
  </si>
  <si>
    <t>ARMAÇÃO DE CORTINA DE CONTENÇÃO EM CONCRETO ARMADO, COM AÇO CA-50 DE 16 MM – MONTAGEM.</t>
  </si>
  <si>
    <t>SOMA DO COMPRIMENTO DA VARA * KG/M DO AÇO 16 MM + 10% (96,84+84,84+188,16.+38,9+92,88+24+65,8+9,27+151,8+141,12*24+6,94)*1,578*1,1</t>
  </si>
  <si>
    <t>2.8</t>
  </si>
  <si>
    <t>100721</t>
  </si>
  <si>
    <t>PINTURA COM TINTA ALQUÍDICA DE FUNDO (TIPO ZARCÃO) PULVERIZADA SOBRE SUPERFÍCIES METÁLICAS (EXCETO PERFIL) EXECUTADO EM OBRA (POR DEMÃO).</t>
  </si>
  <si>
    <t>CALCULO DA ÁREA DA FACE EXTERNA DO CILINDRO (2.π.R * h)  (2*3,14*0,01*7805,20)+(2*3,14*0,016*1017,01)</t>
  </si>
  <si>
    <t>PAINEL 2</t>
  </si>
  <si>
    <t>SOMA DO COMPRIMENTO DA VARA * KG/M DO AÇO 10 MM + 10% (1101,92+1075,68+54,1+197,88+225,04+771,48+300+198,52+138,72+157,76+390,08+236,5+156,52+108,12+122,96)*0,617*1,1</t>
  </si>
  <si>
    <t>2.9</t>
  </si>
  <si>
    <t>SOMA DO COMPRIMENTO DA VARA * KG/M DO AÇO 16 MM + 10% (84,84+188,16+89,1+26,96+141,12+6,89+49,21+83,16+69,84)*1,578*1,1</t>
  </si>
  <si>
    <t>2.10</t>
  </si>
  <si>
    <t>SOMATORIA DA ÁREA DOS PAINEIS  * ESPESSURA DA CORTINA ((((5+6)*9,74)/2)+(((5+1)*5,37)/2)+(((1+6)*6,87)/2))*0,26</t>
  </si>
  <si>
    <t>2.11</t>
  </si>
  <si>
    <t>QUANTIDADE D E TIRANTES DESCRITOS NO PROJETO (14)</t>
  </si>
  <si>
    <t>2.12</t>
  </si>
  <si>
    <t>SOMATORIA DA METRAGEM DO GRAMPOS * QUANTIDADE DE GRAMPOS (10,75*14)</t>
  </si>
  <si>
    <t>2.13</t>
  </si>
  <si>
    <t>SOMATORIA DAS JUNTAS DE DILATAÇÃO (5,28+6,13)</t>
  </si>
  <si>
    <t>2.14</t>
  </si>
  <si>
    <t>FABRICAÇÃO, MONTAGEM E DESMONTAGEM DE FÔRMA PARA CORTINA DE CONTENÇÃO, EM CHAPA DE MADEIRA COMPENSADA PLASTIFICADA, E = 18 MM, 10 UTILIZAÇÕES (INCLUSO ESCORAMENTO)</t>
  </si>
  <si>
    <t>SOMATORIA DAS AREAS DA FACE DO MURO DE CONTEÇÃO ((((5+6)*9,74)/2)+(((5+1)*5,37)/2)+(((1+6)*6,87)/2))</t>
  </si>
  <si>
    <t>CALCULO DA ÁREA DA FACE EXTERNA DO CILINDRO (2.π.R * h)  (2*3,14*0,01*5758,81)+(2*3,14*0,016*813,21)</t>
  </si>
  <si>
    <t>DRENAGEM</t>
  </si>
  <si>
    <t>3.1</t>
  </si>
  <si>
    <t>004</t>
  </si>
  <si>
    <t>DRENO PROFUNDO</t>
  </si>
  <si>
    <t>COMPRIMENTO DOS TUBOS * QUANTIDADE DE TUBOS (10,31*18)</t>
  </si>
  <si>
    <t>3.2</t>
  </si>
  <si>
    <t>005</t>
  </si>
  <si>
    <t>DRENO RASO</t>
  </si>
  <si>
    <t>COMPRIMENTO DOS TUBOS * QUANTIDADE DE TUBOS (1,06*18)</t>
  </si>
  <si>
    <t>3.3</t>
  </si>
  <si>
    <t>102990</t>
  </si>
  <si>
    <t xml:space="preserve">CANALETA MEIA CANA PRÉ-MOLDADA DE CONCRETO (D = 30 CM) - FORNECIMENTO  E INSTALAÇÃO </t>
  </si>
  <si>
    <t>SOMATORIA DAOS COMPRIMENTOS DOS PAINEIS (11,67+10,01+9,06+5,11+9,08+6,5)</t>
  </si>
  <si>
    <t>3.4</t>
  </si>
  <si>
    <t>99251</t>
  </si>
  <si>
    <t>CAIXA ENTERRADA HIDRÁULICA RETANGULAR EM ALVENARIA COM TIJOLOS CERÂMICOS MACIÇOS, DIMENSÕES INTERNAS: 0,4X0,4X0,4 M PARA REDE DE DRENAGEM</t>
  </si>
  <si>
    <t>UNID</t>
  </si>
  <si>
    <t>CÁLCULO DA QUANTIDADE DE CAIXAS (1+1+1+1)</t>
  </si>
  <si>
    <t>TOTAL GERAL SEM BDI</t>
  </si>
  <si>
    <t>VALOR DO BDI</t>
  </si>
  <si>
    <t>TOTAL GERAL COM BDI</t>
  </si>
  <si>
    <t xml:space="preserve">
_________________________________________
CONSULTOP CONSULTORIA, PROJETOS E TOPOGRAFIA LTDA
Evilasio Manoel Silveira Chiacchio
ENG. CIVIL CREA-BA: N° 27.405/D</t>
  </si>
  <si>
    <t>CRONOGRAMA FÍSICO-FINANCEIRO -  GERÊNCIA DE  SALVADOR – BA</t>
  </si>
  <si>
    <t>1º mês</t>
  </si>
  <si>
    <t>2º mês</t>
  </si>
  <si>
    <t>CUSTO TOTAL COM BDI</t>
  </si>
  <si>
    <t>1ª semana</t>
  </si>
  <si>
    <t>2ª semana</t>
  </si>
  <si>
    <t>3ª semana</t>
  </si>
  <si>
    <t>4ª semana</t>
  </si>
  <si>
    <t>DESCRIÇÃO</t>
  </si>
  <si>
    <t xml:space="preserve">SERVIÇOS PRELIMINARES E FINAL </t>
  </si>
  <si>
    <t xml:space="preserve">MURO DE CONTENÇÃO </t>
  </si>
  <si>
    <t>MENSAL</t>
  </si>
  <si>
    <t>TAD</t>
  </si>
  <si>
    <t>ACUMULADO</t>
  </si>
  <si>
    <t xml:space="preserve">
_________________________________________
CONSULTOP CONSULTORIA, PROJETOS E TOPOGRAFIA LTDA
Evilasio Manoel Silveira Chiacchio
ENG. CIVIL CREA-BA: N° 27.405/D</t>
  </si>
  <si>
    <t>TAXA DE ADMINISTRAÇÃO DA OBRA</t>
  </si>
  <si>
    <t>ADMINISTRAÇÃO DE OBRA</t>
  </si>
  <si>
    <t>ENCARREGADO GERAL COM ENCARGOS COMPLEMENTARES</t>
  </si>
  <si>
    <t>ENCARREGADO EM PERÍODO INTEGRAL NA OBRA - 22 DIAS X 8 HORAS X 2 MESES = 352 HORAS</t>
  </si>
  <si>
    <t>VALOR DA OBRA</t>
  </si>
  <si>
    <t>PORCENTAGEM DO TAD SOBRE O VALOR DA OBRA</t>
  </si>
  <si>
    <t xml:space="preserve">
_________________________________________
CONSULTOP CONSULTORIA, PROJETOS E TOPOGRAFIA LTDA
Evilasio Manoel Silveira Chiacchio
ENG. CIVIL CREA-BA: N° 27.405/D</t>
  </si>
  <si>
    <t>COMPOSIÇÃO BDI NORMAL</t>
  </si>
  <si>
    <t>VALOR</t>
  </si>
  <si>
    <t>DESPESAS INDIRETAS</t>
  </si>
  <si>
    <t>AC – ADMINISTRAÇÃO CENTRAL</t>
  </si>
  <si>
    <t>1.1.1</t>
  </si>
  <si>
    <t>Administração Central</t>
  </si>
  <si>
    <t>%</t>
  </si>
  <si>
    <t>SEGUROS RISCOS E GARANTIAS</t>
  </si>
  <si>
    <t>1.2.1</t>
  </si>
  <si>
    <t>S – Seguros + G – Garantias exigidas em edital</t>
  </si>
  <si>
    <t>1.2.2</t>
  </si>
  <si>
    <t>R – Riscos e Imprevistos (Obras medianas em área e/ou prazo, em condições normais  de execução)</t>
  </si>
  <si>
    <t>DF – DESPESAS FINANCEIRAS</t>
  </si>
  <si>
    <t>1.3.1</t>
  </si>
  <si>
    <t>Despesas Financeiras</t>
  </si>
  <si>
    <t>I – IMPOSTOS E TRIBUTOS</t>
  </si>
  <si>
    <t>1.4.1</t>
  </si>
  <si>
    <t>ISS</t>
  </si>
  <si>
    <t>1.4.2</t>
  </si>
  <si>
    <t>COFINS</t>
  </si>
  <si>
    <t>1.4.3</t>
  </si>
  <si>
    <t>PIS</t>
  </si>
  <si>
    <t>1.4.4</t>
  </si>
  <si>
    <t>CPRB</t>
  </si>
  <si>
    <t>L – BENEFÍCIOS</t>
  </si>
  <si>
    <t>LUCRO</t>
  </si>
  <si>
    <t>2.1.1</t>
  </si>
  <si>
    <t>Lucro bruto</t>
  </si>
  <si>
    <t>BDI SERVIÇOS DA ADMINISTRAÇÃO – FÓRMULA                              BDI = {[(1+(AC + S + R + G))(1 + DF) (1 + L)] / (1 – I)}-1</t>
  </si>
  <si>
    <t>REFERÊNCIA: SETOP/MG - 01/2021</t>
  </si>
  <si>
    <t>ACÓRDÃO 2622/13 E LEI Nº 13.161 DE 31/08/15</t>
  </si>
  <si>
    <t>SERVIÇO</t>
  </si>
  <si>
    <t>DESCRIÇÃO DO SERVIÇO</t>
  </si>
  <si>
    <t>PRÓPRIA</t>
  </si>
  <si>
    <t>COMPOSIÇÃO DE PREÇO</t>
  </si>
  <si>
    <t>DESCRIÇÃO DA COMPOSIÇÃO</t>
  </si>
  <si>
    <t>QUANTIDADE</t>
  </si>
  <si>
    <t>CUSTO UNIT.</t>
  </si>
  <si>
    <t>CUSTO TOTAL</t>
  </si>
  <si>
    <t>20209/SINAPI</t>
  </si>
  <si>
    <t>CAIBRO APARELHADO *7,5 X 7,5* CM, EM MACARANDUBA, ANGELIM OU EQUIVALENTE DA REGIÃO</t>
  </si>
  <si>
    <t>m</t>
  </si>
  <si>
    <t>PLACA DE OBRA (PARA CONSTRUCAO CIVIL) EM CHAPA GALVANIZADA *N. 22*, ADESIVADA, M2 300,00 DE *2,0 X 1,125* M (SEM POSTES PARA FIXACAO)</t>
  </si>
  <si>
    <t>m2</t>
  </si>
  <si>
    <t>SARRAFO *2,5 X 5* CM EM PINUS, MISTA OU EQUIVALENTE DA REGIAO – BRUTA</t>
  </si>
  <si>
    <t>88262/SINAPI</t>
  </si>
  <si>
    <t>CARPINTEIRO DE FORMAS COM ENCARGOS COMPLEMENTARES</t>
  </si>
  <si>
    <t>h</t>
  </si>
  <si>
    <t>PREGO DE ACO POLIDO COM CABECA 18 X 30 (2 3/4 X 10)</t>
  </si>
  <si>
    <t>kg</t>
  </si>
  <si>
    <t>88316/SINAPI</t>
  </si>
  <si>
    <t>SERVENTE COM ENCARGOS COMPLEMENTARES</t>
  </si>
  <si>
    <t>TOTAL</t>
  </si>
  <si>
    <t xml:space="preserve">EQUIPE DE TOPOGRAFIA COMPOSTA DE 1 TOPOGRAFO. AUXILIAR DE TOPOGRAFIA, TEODOLITO E DEMAIS ACESSÓRIOS, INCLUINDO DESENHO </t>
  </si>
  <si>
    <t>90781/SINAPI</t>
  </si>
  <si>
    <t>TOPOGRAFO COM ENCARGOS COMPLEMENTARES</t>
  </si>
  <si>
    <t>88253/SINAPI</t>
  </si>
  <si>
    <t>AUXILIAR DE TOPÓGRAFO COM ENCARGOS COMPLEMENTARES</t>
  </si>
  <si>
    <t>FERRAMENTAS - FAMILIA TOPOGRAFO - HORISTA (ENCARGOS COMPLEMENTARES -  COLETADO CAIXA)</t>
  </si>
  <si>
    <t>EPI - FAMILIA TOPOGRAFO - HORISTA (ENCARGOS COMPLEMENTARES - COLETADO CAIXA)</t>
  </si>
  <si>
    <t>7247/SINAPI</t>
  </si>
  <si>
    <t>LOCACAO DE TEODOLITO ELETRONICO, PRECISAO ANGULAR DE 5 A 7 SEGUNDOS, INCLUINDO TRIPE</t>
  </si>
  <si>
    <t>90773/SINAPI</t>
  </si>
  <si>
    <t>DESENHISTA COPISTA COM ENCARGOS COMPLEMENTARES</t>
  </si>
  <si>
    <t xml:space="preserve">TESTE DE FLUENCIA, RECEBIMENTO E QUALIFICAÇÃO </t>
  </si>
  <si>
    <t>UNI.</t>
  </si>
  <si>
    <t>100533/SINAPI</t>
  </si>
  <si>
    <t xml:space="preserve">TEC. EDIFICAÇÕES </t>
  </si>
  <si>
    <t>88242/SINAPI</t>
  </si>
  <si>
    <t>AJUDANTE PRATICO</t>
  </si>
  <si>
    <t>102826/SINAPI</t>
  </si>
  <si>
    <t>CONJUNTO MACACO E BOMBA HIDRÁULICA</t>
  </si>
  <si>
    <t>CONJUNTO DE APOIO</t>
  </si>
  <si>
    <t>uni</t>
  </si>
  <si>
    <t>43056/SINAPI</t>
  </si>
  <si>
    <t>TIRANTE 25MM 30TON</t>
  </si>
  <si>
    <t>100263/SINAPI</t>
  </si>
  <si>
    <t xml:space="preserve">TRANSPORTE DO CONJUNTO DE PROTENSÃO </t>
  </si>
  <si>
    <t>Kg x m</t>
  </si>
  <si>
    <t>TRANSPORTE DO CONJUNTO DE PROTENÇÃO</t>
  </si>
  <si>
    <t>4021/SINAPI</t>
  </si>
  <si>
    <t>GEOTEXTIL NAO TECIDO AGULHADO DE FILAMENTOS CONTINUOS 100% POLIESTER, RESISTENCIA A TRACAO = 14 KN/M</t>
  </si>
  <si>
    <t>4718/SINAPI</t>
  </si>
  <si>
    <t>PEDRA BRITADA N. 2 (19 A 38 MM) POSTO PEDREIRA/FORNECEDOR, SEM FRETE</t>
  </si>
  <si>
    <t>m3</t>
  </si>
  <si>
    <t>5678/SINAPI</t>
  </si>
  <si>
    <t>RETROESCAVADEIRA SOBRE RODAS COM CARREGADEIRA, TRAÇÃO 4X4, POTÊNCIA LÍQ. 88 HP, CAÇAMBA CARREG. CAP. MÍN. 1 M3, CAÇAMBA RETRO CAP. 0,26 M3, PESO OPE RACIONAL MÍN. 6.674 KG, PROFUNDIDADE ESCAVAÇÃO MÁX. 4,37 M - CHP DIURNO.</t>
  </si>
  <si>
    <t>chp</t>
  </si>
  <si>
    <t>5679/SINAPI</t>
  </si>
  <si>
    <t>RETROESCAVADEIRA SOBRE RODAS COM CARREGADEIRA, TRAÇÃO 4X4, POTÊNCIA LÍQ. 88 HP, CAÇAMBA CARREG. CAP. MÍN. 1 M3, CAÇAMBA RETRO CAP. 0,26 M3, PESO OPE RACIONAL MÍN. 6.674 KG, PROFUNDIDADE ESCAVAÇÃO MÁX. 4,37 M - CHI DIURNO.</t>
  </si>
  <si>
    <t>TUBO DRENO, CORRUGADO, ESPIRALADO, FLEXIVEL, PERFURADO, EM POLIETILENO DE ALTA DENSIDADE (PEAD), DN 65 MM, (2 1/2") PARA DRENAGEM - EM ROLO (NORMA DNIT 093/2006 – EM)</t>
  </si>
  <si>
    <t>88309/SINAPI</t>
  </si>
  <si>
    <t>PEDREIRO COM ENCARGOS COMPLEMENTARES</t>
  </si>
  <si>
    <t>90106/SINAPI</t>
  </si>
  <si>
    <t>ESCAVAÇÃO MECANIZADA DE VALA COM PROFUNDIDADE ATÉ 1,5 M (MÉDIA MONTANTE E  JUSANTE/UMA COMPOSIÇÃO POR TRECHO), RETROESCAV. (0,26 M3), LARGURA DE 0,8 M A 1,5 M, EM SOLO DE 1A CATEGORIA, LOCAIS COM BAIXO NÍVEL DE INTERFERÊNCIA</t>
  </si>
  <si>
    <t>90778</t>
  </si>
  <si>
    <t>SALVADOR, 06 DE MAIO DE 2022</t>
  </si>
  <si>
    <t>ENGENHEIRO CIVIL DE OBRA PLENO COM ENCARGOS COMPLEMENTARES</t>
  </si>
  <si>
    <t>ANM</t>
  </si>
  <si>
    <t>TERMO DE REFERÊNCIA</t>
  </si>
  <si>
    <t>AGÊNCIA NACIONAL DE MINERAÇÃO</t>
  </si>
  <si>
    <t>SALVADOR - BA</t>
  </si>
  <si>
    <t>EXECUÇÃO DE REFORMA</t>
  </si>
  <si>
    <t>TOTAL COM BDI</t>
  </si>
  <si>
    <t>EXECUÇÃO DO MURO DE CONTENÇÃO DO PRÉDIO DA ANM</t>
  </si>
  <si>
    <t>ENGENHEIRO RESIDENTE FICANDO 3 HORAS POR DIA DURANTE 44 DIAS = 132 HORAS</t>
  </si>
  <si>
    <t>TAXA DE ADMINISTRAÇÃO DA OBRA (7,248%)</t>
  </si>
  <si>
    <t>REFERÊNCIA: SINAPI/BA 08/2022 – DESONERADA</t>
  </si>
  <si>
    <t>04813/SINAPI</t>
  </si>
  <si>
    <t>04512/SINAPI</t>
  </si>
  <si>
    <t>5075/SINAPI</t>
  </si>
  <si>
    <t>43469/SINAPI</t>
  </si>
  <si>
    <t>43493/SINAPI</t>
  </si>
  <si>
    <t>38052/SINAPI</t>
  </si>
  <si>
    <t>CURVA ABC</t>
  </si>
  <si>
    <t>Percentual (%)</t>
  </si>
  <si>
    <t>Percentual acumulado (%)</t>
  </si>
  <si>
    <t>ESTATÍSTICA</t>
  </si>
  <si>
    <t>Classe</t>
  </si>
  <si>
    <t>Corte</t>
  </si>
  <si>
    <t>Proporção de serviços</t>
  </si>
  <si>
    <t>Proporçao de valor</t>
  </si>
  <si>
    <t>A</t>
  </si>
  <si>
    <t>B</t>
  </si>
  <si>
    <t>C</t>
  </si>
  <si>
    <t>ABC</t>
  </si>
  <si>
    <t>Data base: SINAPI AGOSTO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</si>
</sst>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164" formatCode="&quot; R$&quot;* #,##0.00\ ;&quot;-R$&quot;* #,##0.00\ ;&quot; R$&quot;* \-#\ ;@\ "/>
    <numFmt numFmtId="165" formatCode="&quot; R$ &quot;#,##0.00\ ;&quot; R$ (&quot;#,##0.00\);&quot; R$ -&quot;#\ ;@\ "/>
    <numFmt numFmtId="166" formatCode="#,##0.00\ ;&quot; (&quot;#,##0.00\);\-#\ ;@\ "/>
    <numFmt numFmtId="167" formatCode="* #,##0.00\ ;* \(#,##0.00\);* \-#\ ;@\ "/>
    <numFmt numFmtId="168" formatCode="&quot;R$ &quot;#,##0.00"/>
    <numFmt numFmtId="169" formatCode="&quot; R$&quot;* #,##0.00\ ;&quot; R$&quot;* \(#,##0.00\);&quot; R$&quot;* \-#\ ;@\ "/>
    <numFmt numFmtId="170" formatCode="* #,##0.00\ ;\-* #,##0.00\ ;* \-#\ ;@\ "/>
    <numFmt numFmtId="171" formatCode="0.00000%"/>
    <numFmt numFmtId="172" formatCode="0.0000%"/>
    <numFmt numFmtId="173" formatCode="0.000%"/>
  </numFmts>
  <fonts count="35" x14ac:knownFonts="1">
    <font>
      <sz val="11"/>
      <color rgb="FF000000"/>
      <name val="Arial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Times New Roman"/>
      <family val="1"/>
      <charset val="1"/>
    </font>
    <font>
      <b/>
      <sz val="30"/>
      <color rgb="FF000000"/>
      <name val="Times New Roman"/>
      <family val="1"/>
      <charset val="1"/>
    </font>
    <font>
      <b/>
      <sz val="2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2"/>
      <color rgb="FF003366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8"/>
      <color rgb="FF000000"/>
      <name val="Arial"/>
      <family val="2"/>
      <charset val="1"/>
    </font>
    <font>
      <b/>
      <sz val="20"/>
      <name val="Arial"/>
      <family val="2"/>
      <charset val="1"/>
    </font>
    <font>
      <b/>
      <sz val="10"/>
      <name val="Arial"/>
      <family val="2"/>
      <charset val="1"/>
    </font>
    <font>
      <b/>
      <sz val="12"/>
      <color rgb="FFFFFFFF"/>
      <name val="Times New Roman"/>
      <family val="1"/>
      <charset val="1"/>
    </font>
    <font>
      <b/>
      <sz val="24"/>
      <name val="Times New Roman"/>
      <family val="1"/>
      <charset val="1"/>
    </font>
    <font>
      <sz val="11"/>
      <color rgb="FF000000"/>
      <name val="Arial"/>
      <family val="1"/>
    </font>
    <font>
      <b/>
      <sz val="22"/>
      <color rgb="FF00206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Times New Roman"/>
      <family val="1"/>
      <charset val="1"/>
    </font>
    <font>
      <b/>
      <sz val="11"/>
      <color theme="1"/>
      <name val="Calibri"/>
      <family val="2"/>
      <scheme val="minor"/>
    </font>
    <font>
      <sz val="12"/>
      <color theme="0"/>
      <name val="Times New Roman"/>
      <family val="1"/>
      <charset val="1"/>
    </font>
    <font>
      <sz val="11"/>
      <color theme="0"/>
      <name val="Arial"/>
      <family val="1"/>
    </font>
  </fonts>
  <fills count="19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E2F0D9"/>
        <bgColor rgb="FFDAE3F3"/>
      </patternFill>
    </fill>
    <fill>
      <patternFill patternType="solid">
        <fgColor rgb="FFA6A6A6"/>
        <bgColor rgb="FF969696"/>
      </patternFill>
    </fill>
    <fill>
      <patternFill patternType="solid">
        <fgColor rgb="FF000000"/>
        <bgColor rgb="FF003300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A6A6A6"/>
      </patternFill>
    </fill>
    <fill>
      <patternFill patternType="solid">
        <fgColor rgb="FFDAE3F3"/>
        <bgColor rgb="FFD9D9D9"/>
      </patternFill>
    </fill>
    <fill>
      <patternFill patternType="solid">
        <fgColor rgb="FF2E75B6"/>
        <bgColor rgb="FF0066CC"/>
      </patternFill>
    </fill>
    <fill>
      <patternFill patternType="solid">
        <fgColor rgb="FFFFD966"/>
        <bgColor rgb="FFFFFF99"/>
      </patternFill>
    </fill>
    <fill>
      <patternFill patternType="solid">
        <fgColor rgb="FF92D050"/>
        <bgColor rgb="FFA6A6A6"/>
      </patternFill>
    </fill>
    <fill>
      <patternFill patternType="solid">
        <fgColor rgb="FFD9D9D9"/>
        <bgColor rgb="FFDAE3F3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17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170" fontId="2" fillId="0" borderId="0" applyBorder="0" applyProtection="0"/>
    <xf numFmtId="9" fontId="2" fillId="0" borderId="0" applyBorder="0" applyProtection="0"/>
    <xf numFmtId="164" fontId="2" fillId="0" borderId="0" applyBorder="0" applyProtection="0"/>
    <xf numFmtId="165" fontId="3" fillId="0" borderId="0" applyBorder="0" applyProtection="0"/>
    <xf numFmtId="0" fontId="4" fillId="0" borderId="0">
      <alignment vertical="top"/>
    </xf>
    <xf numFmtId="0" fontId="5" fillId="0" borderId="0"/>
    <xf numFmtId="0" fontId="3" fillId="0" borderId="0" applyBorder="0" applyProtection="0"/>
    <xf numFmtId="0" fontId="6" fillId="0" borderId="0"/>
    <xf numFmtId="9" fontId="2" fillId="0" borderId="0" applyBorder="0" applyProtection="0"/>
    <xf numFmtId="9" fontId="3" fillId="0" borderId="0" applyBorder="0" applyProtection="0"/>
    <xf numFmtId="166" fontId="3" fillId="0" borderId="0" applyBorder="0" applyProtection="0"/>
    <xf numFmtId="167" fontId="2" fillId="0" borderId="0" applyBorder="0" applyProtection="0"/>
    <xf numFmtId="0" fontId="2" fillId="0" borderId="0" applyBorder="0" applyProtection="0"/>
    <xf numFmtId="44" fontId="23" fillId="0" borderId="0" applyFont="0" applyFill="0" applyBorder="0" applyAlignment="0" applyProtection="0"/>
  </cellStyleXfs>
  <cellXfs count="322">
    <xf numFmtId="0" fontId="0" fillId="0" borderId="0" xfId="0"/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168" fontId="10" fillId="2" borderId="6" xfId="0" applyNumberFormat="1" applyFont="1" applyFill="1" applyBorder="1" applyAlignment="1">
      <alignment horizontal="center" vertical="center" wrapText="1"/>
    </xf>
    <xf numFmtId="10" fontId="10" fillId="2" borderId="6" xfId="0" applyNumberFormat="1" applyFont="1" applyFill="1" applyBorder="1" applyAlignment="1">
      <alignment horizontal="center" vertical="center" wrapText="1"/>
    </xf>
    <xf numFmtId="168" fontId="10" fillId="2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4" fontId="11" fillId="0" borderId="1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168" fontId="11" fillId="0" borderId="11" xfId="0" applyNumberFormat="1" applyFont="1" applyBorder="1" applyAlignment="1">
      <alignment horizontal="center" vertical="center"/>
    </xf>
    <xf numFmtId="10" fontId="11" fillId="0" borderId="12" xfId="0" applyNumberFormat="1" applyFont="1" applyBorder="1" applyAlignment="1">
      <alignment horizontal="center" vertical="center"/>
    </xf>
    <xf numFmtId="10" fontId="11" fillId="0" borderId="1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4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168" fontId="11" fillId="0" borderId="12" xfId="0" applyNumberFormat="1" applyFont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center" vertical="center"/>
    </xf>
    <xf numFmtId="4" fontId="11" fillId="3" borderId="12" xfId="0" applyNumberFormat="1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168" fontId="11" fillId="3" borderId="12" xfId="0" applyNumberFormat="1" applyFont="1" applyFill="1" applyBorder="1" applyAlignment="1">
      <alignment horizontal="center" vertical="center"/>
    </xf>
    <xf numFmtId="10" fontId="11" fillId="3" borderId="12" xfId="0" applyNumberFormat="1" applyFont="1" applyFill="1" applyBorder="1" applyAlignment="1">
      <alignment horizontal="center" vertical="center"/>
    </xf>
    <xf numFmtId="10" fontId="11" fillId="3" borderId="13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3" borderId="0" xfId="0" applyFill="1"/>
    <xf numFmtId="168" fontId="12" fillId="4" borderId="15" xfId="0" applyNumberFormat="1" applyFont="1" applyFill="1" applyBorder="1" applyAlignment="1">
      <alignment horizontal="center" vertical="center"/>
    </xf>
    <xf numFmtId="10" fontId="12" fillId="4" borderId="15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1" fillId="0" borderId="16" xfId="0" applyNumberFormat="1" applyFont="1" applyBorder="1" applyAlignment="1">
      <alignment horizontal="center" vertical="center"/>
    </xf>
    <xf numFmtId="168" fontId="11" fillId="0" borderId="16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10" fontId="11" fillId="0" borderId="17" xfId="0" applyNumberFormat="1" applyFont="1" applyBorder="1" applyAlignment="1">
      <alignment horizontal="center" vertical="center"/>
    </xf>
    <xf numFmtId="168" fontId="13" fillId="5" borderId="19" xfId="0" applyNumberFormat="1" applyFont="1" applyFill="1" applyBorder="1" applyAlignment="1">
      <alignment horizontal="center" vertical="center"/>
    </xf>
    <xf numFmtId="168" fontId="13" fillId="5" borderId="21" xfId="0" applyNumberFormat="1" applyFont="1" applyFill="1" applyBorder="1" applyAlignment="1">
      <alignment horizontal="center" vertical="center"/>
    </xf>
    <xf numFmtId="168" fontId="13" fillId="5" borderId="23" xfId="0" applyNumberFormat="1" applyFont="1" applyFill="1" applyBorder="1" applyAlignment="1">
      <alignment horizontal="center" vertical="center"/>
    </xf>
    <xf numFmtId="0" fontId="0" fillId="3" borderId="4" xfId="0" applyFill="1" applyBorder="1"/>
    <xf numFmtId="0" fontId="5" fillId="0" borderId="30" xfId="0" applyFont="1" applyBorder="1"/>
    <xf numFmtId="0" fontId="5" fillId="0" borderId="16" xfId="0" applyFont="1" applyBorder="1"/>
    <xf numFmtId="0" fontId="5" fillId="0" borderId="31" xfId="0" applyFont="1" applyBorder="1"/>
    <xf numFmtId="0" fontId="5" fillId="0" borderId="32" xfId="0" applyFont="1" applyBorder="1"/>
    <xf numFmtId="0" fontId="5" fillId="0" borderId="33" xfId="0" applyFont="1" applyBorder="1"/>
    <xf numFmtId="0" fontId="17" fillId="7" borderId="34" xfId="6" applyFont="1" applyFill="1" applyBorder="1" applyAlignment="1">
      <alignment horizontal="center" vertical="center"/>
    </xf>
    <xf numFmtId="0" fontId="17" fillId="7" borderId="35" xfId="6" applyFont="1" applyFill="1" applyBorder="1" applyAlignment="1">
      <alignment horizontal="justify" vertical="top"/>
    </xf>
    <xf numFmtId="0" fontId="0" fillId="8" borderId="36" xfId="0" applyFill="1" applyBorder="1"/>
    <xf numFmtId="0" fontId="0" fillId="8" borderId="12" xfId="0" applyFill="1" applyBorder="1"/>
    <xf numFmtId="0" fontId="0" fillId="8" borderId="17" xfId="0" applyFill="1" applyBorder="1"/>
    <xf numFmtId="0" fontId="0" fillId="8" borderId="37" xfId="0" applyFill="1" applyBorder="1"/>
    <xf numFmtId="0" fontId="0" fillId="5" borderId="37" xfId="0" applyFill="1" applyBorder="1"/>
    <xf numFmtId="0" fontId="0" fillId="3" borderId="38" xfId="0" applyFill="1" applyBorder="1"/>
    <xf numFmtId="0" fontId="18" fillId="7" borderId="34" xfId="6" applyFont="1" applyFill="1" applyBorder="1"/>
    <xf numFmtId="0" fontId="18" fillId="7" borderId="35" xfId="6" applyFont="1" applyFill="1" applyBorder="1" applyAlignment="1">
      <alignment horizontal="justify" vertical="top"/>
    </xf>
    <xf numFmtId="0" fontId="0" fillId="8" borderId="39" xfId="0" applyFill="1" applyBorder="1"/>
    <xf numFmtId="0" fontId="0" fillId="8" borderId="40" xfId="0" applyFill="1" applyBorder="1"/>
    <xf numFmtId="0" fontId="0" fillId="8" borderId="41" xfId="0" applyFill="1" applyBorder="1"/>
    <xf numFmtId="0" fontId="0" fillId="8" borderId="42" xfId="0" applyFill="1" applyBorder="1"/>
    <xf numFmtId="0" fontId="0" fillId="5" borderId="42" xfId="0" applyFill="1" applyBorder="1"/>
    <xf numFmtId="10" fontId="2" fillId="0" borderId="44" xfId="2" applyNumberFormat="1" applyFont="1" applyBorder="1" applyAlignment="1" applyProtection="1"/>
    <xf numFmtId="10" fontId="2" fillId="0" borderId="45" xfId="2" applyNumberFormat="1" applyFont="1" applyBorder="1" applyAlignment="1" applyProtection="1"/>
    <xf numFmtId="10" fontId="2" fillId="0" borderId="46" xfId="2" applyNumberFormat="1" applyFont="1" applyBorder="1" applyAlignment="1" applyProtection="1"/>
    <xf numFmtId="10" fontId="2" fillId="0" borderId="47" xfId="2" applyNumberFormat="1" applyFont="1" applyBorder="1" applyAlignment="1" applyProtection="1"/>
    <xf numFmtId="10" fontId="2" fillId="0" borderId="48" xfId="2" applyNumberFormat="1" applyFont="1" applyBorder="1" applyAlignment="1" applyProtection="1"/>
    <xf numFmtId="10" fontId="5" fillId="3" borderId="49" xfId="2" applyNumberFormat="1" applyFont="1" applyFill="1" applyBorder="1" applyAlignment="1" applyProtection="1"/>
    <xf numFmtId="0" fontId="0" fillId="10" borderId="30" xfId="0" applyFill="1" applyBorder="1"/>
    <xf numFmtId="0" fontId="0" fillId="10" borderId="16" xfId="0" applyFill="1" applyBorder="1"/>
    <xf numFmtId="0" fontId="0" fillId="0" borderId="16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167" fontId="0" fillId="0" borderId="50" xfId="0" applyNumberFormat="1" applyBorder="1"/>
    <xf numFmtId="167" fontId="0" fillId="0" borderId="51" xfId="0" applyNumberFormat="1" applyBorder="1"/>
    <xf numFmtId="167" fontId="0" fillId="0" borderId="52" xfId="0" applyNumberFormat="1" applyBorder="1"/>
    <xf numFmtId="167" fontId="0" fillId="0" borderId="53" xfId="0" applyNumberFormat="1" applyBorder="1"/>
    <xf numFmtId="167" fontId="0" fillId="0" borderId="54" xfId="0" applyNumberFormat="1" applyBorder="1"/>
    <xf numFmtId="169" fontId="5" fillId="3" borderId="55" xfId="3" applyNumberFormat="1" applyFont="1" applyFill="1" applyBorder="1" applyAlignment="1" applyProtection="1"/>
    <xf numFmtId="10" fontId="2" fillId="0" borderId="57" xfId="2" applyNumberFormat="1" applyFont="1" applyBorder="1" applyAlignment="1" applyProtection="1"/>
    <xf numFmtId="10" fontId="2" fillId="0" borderId="11" xfId="2" applyNumberFormat="1" applyFont="1" applyBorder="1" applyAlignment="1" applyProtection="1"/>
    <xf numFmtId="10" fontId="2" fillId="0" borderId="13" xfId="2" applyNumberFormat="1" applyFont="1" applyBorder="1" applyAlignment="1" applyProtection="1"/>
    <xf numFmtId="10" fontId="2" fillId="0" borderId="58" xfId="2" applyNumberFormat="1" applyFont="1" applyBorder="1" applyAlignment="1" applyProtection="1"/>
    <xf numFmtId="0" fontId="0" fillId="10" borderId="31" xfId="0" applyFill="1" applyBorder="1"/>
    <xf numFmtId="0" fontId="0" fillId="10" borderId="32" xfId="0" applyFill="1" applyBorder="1"/>
    <xf numFmtId="0" fontId="0" fillId="10" borderId="33" xfId="0" applyFill="1" applyBorder="1"/>
    <xf numFmtId="167" fontId="0" fillId="0" borderId="59" xfId="0" applyNumberFormat="1" applyBorder="1"/>
    <xf numFmtId="167" fontId="0" fillId="0" borderId="12" xfId="0" applyNumberFormat="1" applyBorder="1"/>
    <xf numFmtId="167" fontId="0" fillId="0" borderId="17" xfId="0" applyNumberFormat="1" applyBorder="1"/>
    <xf numFmtId="167" fontId="0" fillId="0" borderId="60" xfId="0" applyNumberFormat="1" applyBorder="1"/>
    <xf numFmtId="0" fontId="0" fillId="0" borderId="30" xfId="0" applyBorder="1"/>
    <xf numFmtId="0" fontId="0" fillId="0" borderId="4" xfId="0" applyBorder="1"/>
    <xf numFmtId="0" fontId="0" fillId="3" borderId="62" xfId="0" applyFill="1" applyBorder="1"/>
    <xf numFmtId="0" fontId="20" fillId="11" borderId="63" xfId="6" applyFont="1" applyFill="1" applyBorder="1" applyAlignment="1">
      <alignment vertical="center"/>
    </xf>
    <xf numFmtId="0" fontId="20" fillId="11" borderId="7" xfId="6" applyFont="1" applyFill="1" applyBorder="1" applyAlignment="1">
      <alignment vertical="center"/>
    </xf>
    <xf numFmtId="0" fontId="0" fillId="3" borderId="65" xfId="0" applyFill="1" applyBorder="1"/>
    <xf numFmtId="0" fontId="20" fillId="11" borderId="3" xfId="6" applyFont="1" applyFill="1" applyBorder="1" applyAlignment="1">
      <alignment vertical="center"/>
    </xf>
    <xf numFmtId="0" fontId="20" fillId="12" borderId="66" xfId="0" applyFont="1" applyFill="1" applyBorder="1"/>
    <xf numFmtId="0" fontId="5" fillId="12" borderId="67" xfId="0" applyFont="1" applyFill="1" applyBorder="1"/>
    <xf numFmtId="0" fontId="5" fillId="3" borderId="0" xfId="0" applyFont="1" applyFill="1"/>
    <xf numFmtId="0" fontId="0" fillId="3" borderId="68" xfId="0" applyFill="1" applyBorder="1"/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justify" vertical="top"/>
    </xf>
    <xf numFmtId="0" fontId="0" fillId="3" borderId="66" xfId="0" applyFill="1" applyBorder="1"/>
    <xf numFmtId="0" fontId="0" fillId="3" borderId="69" xfId="0" applyFill="1" applyBorder="1"/>
    <xf numFmtId="0" fontId="0" fillId="3" borderId="70" xfId="0" applyFill="1" applyBorder="1"/>
    <xf numFmtId="0" fontId="10" fillId="2" borderId="72" xfId="0" applyFont="1" applyFill="1" applyBorder="1" applyAlignment="1">
      <alignment horizontal="center" vertical="center"/>
    </xf>
    <xf numFmtId="168" fontId="10" fillId="2" borderId="73" xfId="0" applyNumberFormat="1" applyFont="1" applyFill="1" applyBorder="1" applyAlignment="1">
      <alignment horizontal="center" vertical="center" wrapText="1"/>
    </xf>
    <xf numFmtId="0" fontId="10" fillId="2" borderId="74" xfId="0" applyFont="1" applyFill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 wrapText="1"/>
    </xf>
    <xf numFmtId="168" fontId="11" fillId="0" borderId="11" xfId="0" applyNumberFormat="1" applyFont="1" applyBorder="1" applyAlignment="1">
      <alignment horizontal="center" vertical="center" wrapText="1"/>
    </xf>
    <xf numFmtId="10" fontId="11" fillId="0" borderId="11" xfId="0" applyNumberFormat="1" applyFont="1" applyBorder="1" applyAlignment="1">
      <alignment horizontal="center" vertical="center"/>
    </xf>
    <xf numFmtId="168" fontId="11" fillId="0" borderId="77" xfId="0" applyNumberFormat="1" applyFont="1" applyBorder="1" applyAlignment="1">
      <alignment horizontal="center" vertical="center" wrapText="1"/>
    </xf>
    <xf numFmtId="0" fontId="11" fillId="0" borderId="78" xfId="0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 wrapText="1"/>
    </xf>
    <xf numFmtId="168" fontId="11" fillId="0" borderId="12" xfId="0" applyNumberFormat="1" applyFont="1" applyBorder="1" applyAlignment="1">
      <alignment horizontal="center" vertical="center" wrapText="1"/>
    </xf>
    <xf numFmtId="168" fontId="11" fillId="0" borderId="79" xfId="0" applyNumberFormat="1" applyFont="1" applyBorder="1" applyAlignment="1">
      <alignment horizontal="center" vertical="center" wrapText="1"/>
    </xf>
    <xf numFmtId="168" fontId="12" fillId="4" borderId="15" xfId="0" applyNumberFormat="1" applyFont="1" applyFill="1" applyBorder="1" applyAlignment="1">
      <alignment vertical="center"/>
    </xf>
    <xf numFmtId="0" fontId="12" fillId="4" borderId="15" xfId="0" applyFont="1" applyFill="1" applyBorder="1" applyAlignment="1">
      <alignment vertical="center"/>
    </xf>
    <xf numFmtId="168" fontId="12" fillId="4" borderId="81" xfId="0" applyNumberFormat="1" applyFont="1" applyFill="1" applyBorder="1" applyAlignment="1">
      <alignment vertical="center"/>
    </xf>
    <xf numFmtId="168" fontId="13" fillId="5" borderId="75" xfId="0" applyNumberFormat="1" applyFont="1" applyFill="1" applyBorder="1" applyAlignment="1">
      <alignment vertical="center"/>
    </xf>
    <xf numFmtId="168" fontId="13" fillId="5" borderId="83" xfId="0" applyNumberFormat="1" applyFont="1" applyFill="1" applyBorder="1" applyAlignment="1">
      <alignment vertical="center"/>
    </xf>
    <xf numFmtId="168" fontId="13" fillId="5" borderId="81" xfId="0" applyNumberFormat="1" applyFont="1" applyFill="1" applyBorder="1" applyAlignment="1">
      <alignment vertical="center" wrapText="1"/>
    </xf>
    <xf numFmtId="168" fontId="13" fillId="5" borderId="84" xfId="0" applyNumberFormat="1" applyFont="1" applyFill="1" applyBorder="1" applyAlignment="1">
      <alignment vertical="center"/>
    </xf>
    <xf numFmtId="0" fontId="7" fillId="0" borderId="16" xfId="7" applyFont="1" applyBorder="1" applyAlignment="1" applyProtection="1">
      <alignment horizontal="center" vertical="center"/>
    </xf>
    <xf numFmtId="0" fontId="7" fillId="0" borderId="16" xfId="7" applyFont="1" applyBorder="1" applyAlignment="1" applyProtection="1">
      <alignment horizontal="justify" vertical="center" wrapText="1"/>
    </xf>
    <xf numFmtId="4" fontId="7" fillId="0" borderId="16" xfId="7" applyNumberFormat="1" applyFont="1" applyBorder="1" applyAlignment="1" applyProtection="1">
      <alignment horizontal="center" vertical="center"/>
    </xf>
    <xf numFmtId="0" fontId="21" fillId="6" borderId="16" xfId="7" applyFont="1" applyFill="1" applyBorder="1" applyAlignment="1" applyProtection="1">
      <alignment horizontal="center" vertical="center"/>
    </xf>
    <xf numFmtId="165" fontId="21" fillId="6" borderId="16" xfId="4" applyFont="1" applyFill="1" applyBorder="1" applyAlignment="1" applyProtection="1">
      <alignment horizontal="center" vertical="center"/>
      <protection hidden="1"/>
    </xf>
    <xf numFmtId="0" fontId="10" fillId="7" borderId="16" xfId="7" applyFont="1" applyFill="1" applyBorder="1" applyAlignment="1" applyProtection="1">
      <alignment horizontal="center" vertical="center"/>
    </xf>
    <xf numFmtId="165" fontId="10" fillId="7" borderId="16" xfId="4" applyFont="1" applyFill="1" applyBorder="1" applyAlignment="1" applyProtection="1">
      <alignment horizontal="center" vertical="center"/>
      <protection hidden="1"/>
    </xf>
    <xf numFmtId="4" fontId="7" fillId="0" borderId="16" xfId="7" applyNumberFormat="1" applyFont="1" applyBorder="1" applyAlignment="1" applyProtection="1">
      <alignment horizontal="center" vertical="center"/>
      <protection hidden="1"/>
    </xf>
    <xf numFmtId="166" fontId="10" fillId="7" borderId="16" xfId="11" applyFont="1" applyFill="1" applyBorder="1" applyAlignment="1" applyProtection="1">
      <alignment horizontal="center" vertical="center"/>
      <protection hidden="1"/>
    </xf>
    <xf numFmtId="0" fontId="10" fillId="8" borderId="16" xfId="7" applyFont="1" applyFill="1" applyBorder="1" applyAlignment="1" applyProtection="1">
      <alignment horizontal="center" vertical="center"/>
    </xf>
    <xf numFmtId="4" fontId="10" fillId="8" borderId="16" xfId="7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/>
    <xf numFmtId="0" fontId="10" fillId="13" borderId="25" xfId="0" applyFont="1" applyFill="1" applyBorder="1" applyAlignment="1">
      <alignment vertical="center"/>
    </xf>
    <xf numFmtId="0" fontId="11" fillId="0" borderId="86" xfId="0" applyFont="1" applyBorder="1" applyAlignment="1">
      <alignment horizontal="center" vertical="center"/>
    </xf>
    <xf numFmtId="0" fontId="11" fillId="0" borderId="87" xfId="0" applyFont="1" applyBorder="1" applyAlignment="1">
      <alignment horizontal="center" vertical="center"/>
    </xf>
    <xf numFmtId="49" fontId="11" fillId="0" borderId="87" xfId="0" applyNumberFormat="1" applyFont="1" applyBorder="1" applyAlignment="1">
      <alignment horizontal="center" vertical="center"/>
    </xf>
    <xf numFmtId="171" fontId="11" fillId="0" borderId="88" xfId="0" applyNumberFormat="1" applyFont="1" applyBorder="1" applyAlignment="1">
      <alignment horizontal="center" vertical="center"/>
    </xf>
    <xf numFmtId="0" fontId="11" fillId="13" borderId="26" xfId="0" applyFont="1" applyFill="1" applyBorder="1" applyAlignment="1">
      <alignment horizontal="center" vertical="center"/>
    </xf>
    <xf numFmtId="0" fontId="11" fillId="13" borderId="89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168" fontId="11" fillId="0" borderId="68" xfId="0" applyNumberFormat="1" applyFont="1" applyBorder="1" applyAlignment="1">
      <alignment horizontal="center" vertical="center"/>
    </xf>
    <xf numFmtId="168" fontId="11" fillId="0" borderId="70" xfId="0" applyNumberFormat="1" applyFont="1" applyBorder="1" applyAlignment="1">
      <alignment horizontal="center" vertical="center"/>
    </xf>
    <xf numFmtId="168" fontId="11" fillId="14" borderId="11" xfId="0" applyNumberFormat="1" applyFont="1" applyFill="1" applyBorder="1" applyAlignment="1">
      <alignment horizontal="center" vertical="center"/>
    </xf>
    <xf numFmtId="168" fontId="11" fillId="14" borderId="12" xfId="0" applyNumberFormat="1" applyFont="1" applyFill="1" applyBorder="1" applyAlignment="1">
      <alignment horizontal="center" vertical="center"/>
    </xf>
    <xf numFmtId="168" fontId="11" fillId="15" borderId="12" xfId="0" applyNumberFormat="1" applyFont="1" applyFill="1" applyBorder="1" applyAlignment="1">
      <alignment horizontal="center" vertical="center"/>
    </xf>
    <xf numFmtId="0" fontId="26" fillId="0" borderId="26" xfId="0" applyFont="1" applyBorder="1" applyAlignment="1">
      <alignment horizontal="justify" vertical="top"/>
    </xf>
    <xf numFmtId="4" fontId="27" fillId="0" borderId="89" xfId="1" applyNumberFormat="1" applyFont="1" applyBorder="1" applyAlignment="1">
      <alignment horizontal="right"/>
    </xf>
    <xf numFmtId="0" fontId="26" fillId="0" borderId="93" xfId="0" applyFont="1" applyBorder="1" applyAlignment="1">
      <alignment horizontal="justify" vertical="top"/>
    </xf>
    <xf numFmtId="0" fontId="28" fillId="0" borderId="94" xfId="0" applyFont="1" applyBorder="1" applyAlignment="1">
      <alignment horizontal="right"/>
    </xf>
    <xf numFmtId="0" fontId="26" fillId="0" borderId="95" xfId="0" applyFont="1" applyBorder="1" applyAlignment="1">
      <alignment horizontal="justify" vertical="top" wrapText="1"/>
    </xf>
    <xf numFmtId="4" fontId="27" fillId="0" borderId="96" xfId="1" applyNumberFormat="1" applyFont="1" applyBorder="1" applyAlignment="1">
      <alignment horizontal="right"/>
    </xf>
    <xf numFmtId="0" fontId="26" fillId="0" borderId="32" xfId="0" applyFont="1" applyBorder="1" applyAlignment="1">
      <alignment horizontal="justify" vertical="top"/>
    </xf>
    <xf numFmtId="0" fontId="26" fillId="0" borderId="97" xfId="0" applyFont="1" applyBorder="1" applyAlignment="1">
      <alignment horizontal="left"/>
    </xf>
    <xf numFmtId="0" fontId="26" fillId="0" borderId="99" xfId="0" applyFont="1" applyBorder="1" applyAlignment="1">
      <alignment horizontal="justify" vertical="top"/>
    </xf>
    <xf numFmtId="4" fontId="26" fillId="0" borderId="100" xfId="1" applyNumberFormat="1" applyFont="1" applyBorder="1" applyAlignment="1">
      <alignment horizontal="center" vertical="center" wrapText="1"/>
    </xf>
    <xf numFmtId="0" fontId="26" fillId="0" borderId="102" xfId="0" applyFont="1" applyBorder="1" applyAlignment="1">
      <alignment horizontal="justify" vertical="top"/>
    </xf>
    <xf numFmtId="4" fontId="26" fillId="0" borderId="84" xfId="1" applyNumberFormat="1" applyFont="1" applyBorder="1" applyAlignment="1">
      <alignment horizontal="center" vertical="center"/>
    </xf>
    <xf numFmtId="0" fontId="30" fillId="0" borderId="16" xfId="1" applyNumberFormat="1" applyFont="1" applyBorder="1" applyAlignment="1">
      <alignment horizontal="left"/>
    </xf>
    <xf numFmtId="44" fontId="30" fillId="14" borderId="97" xfId="14" applyFont="1" applyFill="1" applyBorder="1" applyAlignment="1">
      <alignment horizontal="justify" vertical="center"/>
    </xf>
    <xf numFmtId="0" fontId="29" fillId="16" borderId="99" xfId="0" applyFont="1" applyFill="1" applyBorder="1"/>
    <xf numFmtId="44" fontId="29" fillId="16" borderId="100" xfId="14" applyFont="1" applyFill="1" applyBorder="1" applyAlignment="1">
      <alignment horizontal="justify" vertical="center"/>
    </xf>
    <xf numFmtId="0" fontId="29" fillId="16" borderId="91" xfId="1" applyNumberFormat="1" applyFont="1" applyFill="1" applyBorder="1" applyAlignment="1">
      <alignment horizontal="center"/>
    </xf>
    <xf numFmtId="44" fontId="29" fillId="16" borderId="105" xfId="14" applyFont="1" applyFill="1" applyBorder="1" applyAlignment="1">
      <alignment horizontal="justify" vertical="center"/>
    </xf>
    <xf numFmtId="172" fontId="13" fillId="5" borderId="84" xfId="0" applyNumberFormat="1" applyFont="1" applyFill="1" applyBorder="1" applyAlignment="1">
      <alignment vertical="center"/>
    </xf>
    <xf numFmtId="168" fontId="11" fillId="0" borderId="11" xfId="0" applyNumberFormat="1" applyFont="1" applyFill="1" applyBorder="1" applyAlignment="1">
      <alignment horizontal="center" vertical="center" wrapText="1"/>
    </xf>
    <xf numFmtId="168" fontId="11" fillId="0" borderId="12" xfId="0" applyNumberFormat="1" applyFont="1" applyFill="1" applyBorder="1" applyAlignment="1">
      <alignment horizontal="center" vertical="center" wrapText="1"/>
    </xf>
    <xf numFmtId="173" fontId="20" fillId="11" borderId="3" xfId="6" applyNumberFormat="1" applyFont="1" applyFill="1" applyBorder="1" applyAlignment="1">
      <alignment vertical="center"/>
    </xf>
    <xf numFmtId="49" fontId="31" fillId="3" borderId="12" xfId="0" applyNumberFormat="1" applyFont="1" applyFill="1" applyBorder="1" applyAlignment="1">
      <alignment horizontal="center" vertical="center"/>
    </xf>
    <xf numFmtId="168" fontId="11" fillId="0" borderId="11" xfId="0" applyNumberFormat="1" applyFont="1" applyFill="1" applyBorder="1" applyAlignment="1">
      <alignment horizontal="center" vertical="center"/>
    </xf>
    <xf numFmtId="168" fontId="11" fillId="0" borderId="12" xfId="0" applyNumberFormat="1" applyFont="1" applyFill="1" applyBorder="1" applyAlignment="1">
      <alignment horizontal="center" vertical="center"/>
    </xf>
    <xf numFmtId="0" fontId="11" fillId="0" borderId="112" xfId="0" applyFont="1" applyBorder="1" applyAlignment="1">
      <alignment horizontal="left" vertical="center" wrapText="1"/>
    </xf>
    <xf numFmtId="0" fontId="11" fillId="0" borderId="91" xfId="0" applyFont="1" applyBorder="1" applyAlignment="1">
      <alignment horizontal="center" vertical="center"/>
    </xf>
    <xf numFmtId="4" fontId="11" fillId="0" borderId="91" xfId="0" applyNumberFormat="1" applyFont="1" applyBorder="1" applyAlignment="1">
      <alignment horizontal="center" vertical="center"/>
    </xf>
    <xf numFmtId="168" fontId="11" fillId="0" borderId="91" xfId="0" applyNumberFormat="1" applyFont="1" applyFill="1" applyBorder="1" applyAlignment="1">
      <alignment horizontal="center" vertical="center"/>
    </xf>
    <xf numFmtId="168" fontId="11" fillId="0" borderId="91" xfId="0" applyNumberFormat="1" applyFont="1" applyBorder="1" applyAlignment="1">
      <alignment horizontal="center" vertical="center"/>
    </xf>
    <xf numFmtId="10" fontId="11" fillId="0" borderId="102" xfId="0" applyNumberFormat="1" applyFont="1" applyBorder="1" applyAlignment="1">
      <alignment horizontal="center" vertical="center"/>
    </xf>
    <xf numFmtId="0" fontId="11" fillId="0" borderId="76" xfId="0" applyFont="1" applyBorder="1" applyAlignment="1">
      <alignment horizontal="left" vertical="center" wrapText="1"/>
    </xf>
    <xf numFmtId="0" fontId="11" fillId="0" borderId="78" xfId="0" applyFont="1" applyBorder="1" applyAlignment="1">
      <alignment horizontal="left" vertical="center" wrapText="1"/>
    </xf>
    <xf numFmtId="0" fontId="11" fillId="3" borderId="78" xfId="0" applyFont="1" applyFill="1" applyBorder="1" applyAlignment="1">
      <alignment horizontal="left" vertical="center" wrapText="1"/>
    </xf>
    <xf numFmtId="0" fontId="11" fillId="0" borderId="113" xfId="0" applyFont="1" applyBorder="1" applyAlignment="1">
      <alignment horizontal="left" vertical="center" wrapText="1"/>
    </xf>
    <xf numFmtId="0" fontId="11" fillId="0" borderId="99" xfId="0" applyFont="1" applyBorder="1" applyAlignment="1">
      <alignment horizontal="center" vertical="center"/>
    </xf>
    <xf numFmtId="4" fontId="11" fillId="0" borderId="99" xfId="0" applyNumberFormat="1" applyFont="1" applyBorder="1" applyAlignment="1">
      <alignment horizontal="center" vertical="center"/>
    </xf>
    <xf numFmtId="168" fontId="11" fillId="0" borderId="99" xfId="0" applyNumberFormat="1" applyFont="1" applyFill="1" applyBorder="1" applyAlignment="1">
      <alignment horizontal="center" vertical="center"/>
    </xf>
    <xf numFmtId="168" fontId="11" fillId="0" borderId="99" xfId="0" applyNumberFormat="1" applyFont="1" applyBorder="1" applyAlignment="1">
      <alignment horizontal="center" vertical="center"/>
    </xf>
    <xf numFmtId="10" fontId="11" fillId="0" borderId="99" xfId="0" applyNumberFormat="1" applyFont="1" applyBorder="1" applyAlignment="1">
      <alignment horizontal="center" vertical="center"/>
    </xf>
    <xf numFmtId="168" fontId="11" fillId="0" borderId="114" xfId="0" applyNumberFormat="1" applyFont="1" applyBorder="1" applyAlignment="1">
      <alignment horizontal="center" vertical="center"/>
    </xf>
    <xf numFmtId="168" fontId="11" fillId="0" borderId="58" xfId="0" applyNumberFormat="1" applyFont="1" applyBorder="1" applyAlignment="1">
      <alignment horizontal="center" vertical="center"/>
    </xf>
    <xf numFmtId="168" fontId="11" fillId="0" borderId="60" xfId="0" applyNumberFormat="1" applyFont="1" applyBorder="1" applyAlignment="1">
      <alignment horizontal="center" vertical="center"/>
    </xf>
    <xf numFmtId="168" fontId="11" fillId="3" borderId="60" xfId="0" applyNumberFormat="1" applyFont="1" applyFill="1" applyBorder="1" applyAlignment="1">
      <alignment horizontal="center" vertical="center"/>
    </xf>
    <xf numFmtId="168" fontId="11" fillId="0" borderId="33" xfId="0" applyNumberFormat="1" applyFont="1" applyBorder="1" applyAlignment="1">
      <alignment horizontal="center" vertical="center"/>
    </xf>
    <xf numFmtId="168" fontId="11" fillId="0" borderId="115" xfId="0" applyNumberFormat="1" applyFont="1" applyBorder="1" applyAlignment="1">
      <alignment horizontal="center" vertical="center"/>
    </xf>
    <xf numFmtId="10" fontId="11" fillId="0" borderId="16" xfId="0" applyNumberFormat="1" applyFont="1" applyBorder="1" applyAlignment="1">
      <alignment horizontal="center" vertical="center"/>
    </xf>
    <xf numFmtId="10" fontId="11" fillId="0" borderId="116" xfId="0" applyNumberFormat="1" applyFont="1" applyBorder="1" applyAlignment="1">
      <alignment horizontal="center" vertical="center"/>
    </xf>
    <xf numFmtId="10" fontId="11" fillId="0" borderId="113" xfId="0" applyNumberFormat="1" applyFont="1" applyBorder="1" applyAlignment="1">
      <alignment horizontal="center" vertical="center"/>
    </xf>
    <xf numFmtId="170" fontId="32" fillId="18" borderId="11" xfId="1" applyFont="1" applyFill="1" applyBorder="1" applyAlignment="1">
      <alignment horizontal="center" vertical="center"/>
    </xf>
    <xf numFmtId="170" fontId="32" fillId="18" borderId="11" xfId="1" applyFont="1" applyFill="1" applyBorder="1" applyAlignment="1">
      <alignment horizontal="center" vertical="center" wrapText="1"/>
    </xf>
    <xf numFmtId="170" fontId="1" fillId="0" borderId="16" xfId="1" applyFont="1" applyBorder="1" applyAlignment="1">
      <alignment horizontal="center" vertical="center"/>
    </xf>
    <xf numFmtId="9" fontId="1" fillId="0" borderId="16" xfId="1" applyNumberFormat="1" applyFont="1" applyBorder="1" applyAlignment="1">
      <alignment horizontal="center" vertical="center"/>
    </xf>
    <xf numFmtId="9" fontId="1" fillId="0" borderId="16" xfId="2" applyFont="1" applyBorder="1" applyAlignment="1">
      <alignment horizontal="center" vertical="center"/>
    </xf>
    <xf numFmtId="10" fontId="1" fillId="0" borderId="16" xfId="2" applyNumberFormat="1" applyFont="1" applyBorder="1" applyAlignment="1">
      <alignment horizontal="center" vertical="center"/>
    </xf>
    <xf numFmtId="170" fontId="30" fillId="0" borderId="11" xfId="1" applyFont="1" applyBorder="1" applyAlignment="1">
      <alignment horizontal="center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4" fontId="33" fillId="0" borderId="0" xfId="0" applyNumberFormat="1" applyFont="1" applyFill="1" applyAlignment="1">
      <alignment horizontal="center" vertical="center"/>
    </xf>
    <xf numFmtId="168" fontId="33" fillId="0" borderId="0" xfId="0" applyNumberFormat="1" applyFont="1" applyFill="1" applyAlignment="1">
      <alignment horizontal="center" vertical="center"/>
    </xf>
    <xf numFmtId="10" fontId="33" fillId="0" borderId="0" xfId="0" applyNumberFormat="1" applyFont="1" applyFill="1" applyAlignment="1">
      <alignment horizontal="center" vertical="center"/>
    </xf>
    <xf numFmtId="0" fontId="34" fillId="0" borderId="0" xfId="0" applyFont="1" applyFill="1"/>
    <xf numFmtId="0" fontId="10" fillId="2" borderId="87" xfId="0" applyFont="1" applyFill="1" applyBorder="1" applyAlignment="1">
      <alignment horizontal="center" vertical="center" wrapText="1"/>
    </xf>
    <xf numFmtId="0" fontId="10" fillId="2" borderId="87" xfId="0" applyFont="1" applyFill="1" applyBorder="1" applyAlignment="1">
      <alignment horizontal="center" vertical="center"/>
    </xf>
    <xf numFmtId="4" fontId="10" fillId="2" borderId="87" xfId="0" applyNumberFormat="1" applyFont="1" applyFill="1" applyBorder="1" applyAlignment="1">
      <alignment horizontal="center" vertical="center"/>
    </xf>
    <xf numFmtId="168" fontId="10" fillId="2" borderId="87" xfId="0" applyNumberFormat="1" applyFont="1" applyFill="1" applyBorder="1" applyAlignment="1">
      <alignment horizontal="center" vertical="center" wrapText="1"/>
    </xf>
    <xf numFmtId="10" fontId="10" fillId="2" borderId="87" xfId="0" applyNumberFormat="1" applyFont="1" applyFill="1" applyBorder="1" applyAlignment="1">
      <alignment horizontal="center" vertical="center" wrapText="1"/>
    </xf>
    <xf numFmtId="168" fontId="10" fillId="2" borderId="35" xfId="0" applyNumberFormat="1" applyFont="1" applyFill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/>
    </xf>
    <xf numFmtId="0" fontId="0" fillId="17" borderId="107" xfId="0" applyFill="1" applyBorder="1" applyAlignment="1">
      <alignment horizontal="center"/>
    </xf>
    <xf numFmtId="0" fontId="0" fillId="17" borderId="108" xfId="0" applyFill="1" applyBorder="1" applyAlignment="1">
      <alignment horizontal="center"/>
    </xf>
    <xf numFmtId="0" fontId="24" fillId="0" borderId="90" xfId="0" applyFont="1" applyBorder="1" applyAlignment="1">
      <alignment horizontal="center" vertical="center"/>
    </xf>
    <xf numFmtId="0" fontId="24" fillId="0" borderId="92" xfId="0" applyFont="1" applyBorder="1" applyAlignment="1">
      <alignment horizontal="center" vertical="center"/>
    </xf>
    <xf numFmtId="0" fontId="24" fillId="0" borderId="98" xfId="0" applyFont="1" applyBorder="1" applyAlignment="1">
      <alignment horizontal="center" vertical="center"/>
    </xf>
    <xf numFmtId="49" fontId="25" fillId="0" borderId="91" xfId="1" applyNumberFormat="1" applyFont="1" applyBorder="1" applyAlignment="1">
      <alignment horizontal="center"/>
    </xf>
    <xf numFmtId="49" fontId="25" fillId="0" borderId="16" xfId="1" applyNumberFormat="1" applyFont="1" applyBorder="1" applyAlignment="1">
      <alignment horizontal="center"/>
    </xf>
    <xf numFmtId="49" fontId="25" fillId="0" borderId="99" xfId="1" applyNumberFormat="1" applyFont="1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101" xfId="0" applyBorder="1" applyAlignment="1">
      <alignment horizontal="center"/>
    </xf>
    <xf numFmtId="0" fontId="0" fillId="16" borderId="103" xfId="0" applyFill="1" applyBorder="1" applyAlignment="1">
      <alignment horizontal="center"/>
    </xf>
    <xf numFmtId="0" fontId="0" fillId="16" borderId="104" xfId="0" applyFill="1" applyBorder="1" applyAlignment="1">
      <alignment horizontal="center"/>
    </xf>
    <xf numFmtId="0" fontId="0" fillId="0" borderId="106" xfId="0" applyBorder="1" applyAlignment="1">
      <alignment horizontal="center"/>
    </xf>
    <xf numFmtId="0" fontId="0" fillId="0" borderId="32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0" fontId="13" fillId="5" borderId="2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0" fillId="6" borderId="26" xfId="0" applyFill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7" borderId="29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textRotation="255"/>
    </xf>
    <xf numFmtId="0" fontId="17" fillId="9" borderId="0" xfId="6" applyFont="1" applyFill="1" applyBorder="1" applyAlignment="1">
      <alignment horizontal="center" vertical="center"/>
    </xf>
    <xf numFmtId="0" fontId="20" fillId="9" borderId="43" xfId="6" applyFont="1" applyFill="1" applyBorder="1" applyAlignment="1">
      <alignment horizontal="justify" vertical="center"/>
    </xf>
    <xf numFmtId="0" fontId="17" fillId="9" borderId="56" xfId="6" applyFont="1" applyFill="1" applyBorder="1" applyAlignment="1">
      <alignment horizontal="center" vertical="center"/>
    </xf>
    <xf numFmtId="0" fontId="20" fillId="9" borderId="3" xfId="6" applyFont="1" applyFill="1" applyBorder="1" applyAlignment="1">
      <alignment horizontal="justify" vertical="center"/>
    </xf>
    <xf numFmtId="0" fontId="17" fillId="9" borderId="42" xfId="6" applyFont="1" applyFill="1" applyBorder="1" applyAlignment="1">
      <alignment horizontal="center" vertical="center"/>
    </xf>
    <xf numFmtId="0" fontId="20" fillId="9" borderId="61" xfId="6" applyFont="1" applyFill="1" applyBorder="1" applyAlignment="1">
      <alignment horizontal="justify" vertical="center"/>
    </xf>
    <xf numFmtId="0" fontId="5" fillId="3" borderId="0" xfId="0" applyFont="1" applyFill="1" applyBorder="1" applyAlignment="1">
      <alignment horizontal="left" vertical="top"/>
    </xf>
    <xf numFmtId="0" fontId="5" fillId="3" borderId="0" xfId="0" applyFont="1" applyFill="1" applyBorder="1" applyAlignment="1">
      <alignment horizontal="left" vertical="top" wrapText="1"/>
    </xf>
    <xf numFmtId="170" fontId="16" fillId="11" borderId="3" xfId="1" applyFont="1" applyFill="1" applyBorder="1" applyAlignment="1" applyProtection="1">
      <alignment horizontal="center" vertical="center"/>
    </xf>
    <xf numFmtId="167" fontId="16" fillId="11" borderId="63" xfId="0" applyNumberFormat="1" applyFont="1" applyFill="1" applyBorder="1" applyAlignment="1">
      <alignment horizontal="center" vertical="center"/>
    </xf>
    <xf numFmtId="170" fontId="0" fillId="3" borderId="64" xfId="0" applyNumberFormat="1" applyFill="1" applyBorder="1" applyAlignment="1">
      <alignment horizontal="center" vertical="center"/>
    </xf>
    <xf numFmtId="170" fontId="16" fillId="11" borderId="3" xfId="1" applyFont="1" applyFill="1" applyBorder="1" applyAlignment="1" applyProtection="1">
      <alignment horizontal="right" vertical="center"/>
    </xf>
    <xf numFmtId="167" fontId="16" fillId="11" borderId="63" xfId="0" applyNumberFormat="1" applyFont="1" applyFill="1" applyBorder="1" applyAlignment="1">
      <alignment horizontal="right" vertical="center"/>
    </xf>
    <xf numFmtId="170" fontId="20" fillId="12" borderId="3" xfId="0" applyNumberFormat="1" applyFont="1" applyFill="1" applyBorder="1" applyAlignment="1">
      <alignment horizontal="right"/>
    </xf>
    <xf numFmtId="170" fontId="20" fillId="12" borderId="63" xfId="0" applyNumberFormat="1" applyFont="1" applyFill="1" applyBorder="1" applyAlignment="1">
      <alignment horizontal="right"/>
    </xf>
    <xf numFmtId="0" fontId="7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10" fillId="2" borderId="75" xfId="0" applyFont="1" applyFill="1" applyBorder="1" applyAlignment="1">
      <alignment horizontal="center" vertical="center"/>
    </xf>
    <xf numFmtId="0" fontId="13" fillId="5" borderId="82" xfId="0" applyFont="1" applyFill="1" applyBorder="1" applyAlignment="1">
      <alignment horizontal="right" vertical="center"/>
    </xf>
    <xf numFmtId="0" fontId="10" fillId="0" borderId="64" xfId="0" applyFont="1" applyBorder="1" applyAlignment="1">
      <alignment horizontal="center" wrapText="1"/>
    </xf>
    <xf numFmtId="0" fontId="12" fillId="4" borderId="80" xfId="0" applyFont="1" applyFill="1" applyBorder="1" applyAlignment="1">
      <alignment horizontal="center" vertical="center"/>
    </xf>
    <xf numFmtId="0" fontId="13" fillId="5" borderId="74" xfId="0" applyFont="1" applyFill="1" applyBorder="1" applyAlignment="1">
      <alignment horizontal="right" vertical="center"/>
    </xf>
    <xf numFmtId="0" fontId="13" fillId="5" borderId="80" xfId="0" applyFont="1" applyFill="1" applyBorder="1" applyAlignment="1">
      <alignment horizontal="right" vertical="center" wrapText="1"/>
    </xf>
    <xf numFmtId="0" fontId="10" fillId="0" borderId="16" xfId="13" applyFont="1" applyBorder="1" applyAlignment="1" applyProtection="1">
      <alignment horizontal="center" vertical="center" wrapText="1"/>
    </xf>
    <xf numFmtId="0" fontId="10" fillId="0" borderId="16" xfId="7" applyFont="1" applyBorder="1" applyAlignment="1" applyProtection="1">
      <alignment horizontal="center" vertical="center"/>
    </xf>
    <xf numFmtId="0" fontId="10" fillId="0" borderId="16" xfId="7" applyFont="1" applyBorder="1" applyAlignment="1" applyProtection="1">
      <alignment horizontal="center" vertical="center" wrapText="1"/>
    </xf>
    <xf numFmtId="0" fontId="21" fillId="6" borderId="16" xfId="7" applyFont="1" applyFill="1" applyBorder="1" applyAlignment="1" applyProtection="1">
      <alignment horizontal="left" vertical="center" wrapText="1"/>
    </xf>
    <xf numFmtId="0" fontId="10" fillId="7" borderId="16" xfId="7" applyFont="1" applyFill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horizontal="center" vertical="center"/>
    </xf>
    <xf numFmtId="0" fontId="7" fillId="0" borderId="16" xfId="7" applyFont="1" applyBorder="1" applyAlignment="1" applyProtection="1">
      <alignment horizontal="center" vertical="center" wrapText="1"/>
    </xf>
    <xf numFmtId="0" fontId="10" fillId="8" borderId="16" xfId="7" applyFont="1" applyFill="1" applyBorder="1" applyAlignment="1" applyProtection="1">
      <alignment horizontal="left" vertical="center" wrapText="1"/>
    </xf>
    <xf numFmtId="10" fontId="22" fillId="0" borderId="16" xfId="10" applyNumberFormat="1" applyFont="1" applyBorder="1" applyAlignment="1" applyProtection="1">
      <alignment horizontal="center" vertical="center"/>
      <protection hidden="1"/>
    </xf>
    <xf numFmtId="0" fontId="7" fillId="0" borderId="8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/>
    </xf>
    <xf numFmtId="0" fontId="10" fillId="13" borderId="25" xfId="0" applyFont="1" applyFill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13" borderId="62" xfId="0" applyFont="1" applyFill="1" applyBorder="1" applyAlignment="1">
      <alignment horizontal="center" vertical="center"/>
    </xf>
    <xf numFmtId="0" fontId="11" fillId="13" borderId="26" xfId="0" applyFont="1" applyFill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66" xfId="0" applyFont="1" applyBorder="1" applyAlignment="1">
      <alignment horizontal="right" vertical="center"/>
    </xf>
    <xf numFmtId="170" fontId="29" fillId="0" borderId="109" xfId="1" applyFont="1" applyBorder="1" applyAlignment="1">
      <alignment horizontal="center" vertical="center"/>
    </xf>
    <xf numFmtId="170" fontId="29" fillId="0" borderId="110" xfId="1" applyFont="1" applyBorder="1" applyAlignment="1">
      <alignment horizontal="center" vertical="center"/>
    </xf>
    <xf numFmtId="170" fontId="29" fillId="0" borderId="111" xfId="1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 wrapText="1"/>
    </xf>
    <xf numFmtId="0" fontId="9" fillId="0" borderId="110" xfId="0" applyFont="1" applyBorder="1" applyAlignment="1">
      <alignment horizontal="center" vertical="center" wrapText="1"/>
    </xf>
    <xf numFmtId="0" fontId="9" fillId="0" borderId="111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66" xfId="0" applyFont="1" applyBorder="1" applyAlignment="1">
      <alignment horizontal="center" vertical="center" wrapText="1"/>
    </xf>
    <xf numFmtId="0" fontId="8" fillId="0" borderId="69" xfId="0" applyFont="1" applyBorder="1" applyAlignment="1">
      <alignment horizontal="center" vertical="center" wrapText="1"/>
    </xf>
  </cellXfs>
  <cellStyles count="15">
    <cellStyle name="Excel Built-in Normal" xfId="13" xr:uid="{00000000-0005-0000-0000-000010000000}"/>
    <cellStyle name="Moeda" xfId="14" builtinId="4"/>
    <cellStyle name="Moeda 2" xfId="3" xr:uid="{00000000-0005-0000-0000-000006000000}"/>
    <cellStyle name="Moeda 3" xfId="4" xr:uid="{00000000-0005-0000-0000-000007000000}"/>
    <cellStyle name="Normal" xfId="0" builtinId="0"/>
    <cellStyle name="Normal 2" xfId="5" xr:uid="{00000000-0005-0000-0000-000008000000}"/>
    <cellStyle name="Normal 2 2" xfId="6" xr:uid="{00000000-0005-0000-0000-000009000000}"/>
    <cellStyle name="Normal 2 2 2" xfId="7" xr:uid="{00000000-0005-0000-0000-00000A000000}"/>
    <cellStyle name="Normal 2 3" xfId="8" xr:uid="{00000000-0005-0000-0000-00000B000000}"/>
    <cellStyle name="Porcentagem" xfId="2" builtinId="5"/>
    <cellStyle name="Porcentagem 2" xfId="9" xr:uid="{00000000-0005-0000-0000-00000C000000}"/>
    <cellStyle name="Porcentagem 2 2" xfId="10" xr:uid="{00000000-0005-0000-0000-00000D000000}"/>
    <cellStyle name="Separador de milhares 4" xfId="11" xr:uid="{00000000-0005-0000-0000-00000E000000}"/>
    <cellStyle name="Vírgula" xfId="1" builtinId="3"/>
    <cellStyle name="Vírgula 2" xfId="12" xr:uid="{00000000-0005-0000-0000-00000F000000}"/>
  </cellStyles>
  <dxfs count="5"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fgColor theme="4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C7CE"/>
        </patternFill>
      </fill>
    </dxf>
    <dxf>
      <font>
        <color auto="1"/>
      </font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DAE3F3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BFBFBF"/>
      <rgbColor rgb="FFFF99CC"/>
      <rgbColor rgb="FFCC99FF"/>
      <rgbColor rgb="FFFFD966"/>
      <rgbColor rgb="FF2E75B6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'CURVA ABC'!$I$6</c:f>
              <c:strCache>
                <c:ptCount val="1"/>
                <c:pt idx="0">
                  <c:v>Percentual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'CURVA ABC'!$A$7:$A$38</c:f>
              <c:strCache>
                <c:ptCount val="32"/>
                <c:pt idx="0">
                  <c:v>ARMAÇÃO DE CORTINA DE CONTENÇÃO EM CONCRETO ARMADO, COM AÇO CA-50 DE 10 MM – MONTAGEM</c:v>
                </c:pt>
                <c:pt idx="1">
                  <c:v>ARMAÇÃO DE CORTINA DE CONTENÇÃO EM CONCRETO ARMADO, COM AÇO CA-50 DE 10 MM – MONTAGEM</c:v>
                </c:pt>
                <c:pt idx="2">
                  <c:v>EXECUÇÃO DE GRAMPO PARA SOLO GRAMPEADO COM COMPRIMENTO MAIOR QUE 10 M, DIÂMETRO DE 7 CM, PERFURAÇÃO COM EQUIPAMENTO MANUAL E ARMADURA COM DIÂMETRO DE 20 MM.</c:v>
                </c:pt>
                <c:pt idx="3">
                  <c:v>EXECUÇÃO DE GRAMPO PARA SOLO GRAMPEADO COM COMPRIMENTO MAIOR QUE 10 M, DIÂMETRO DE 7 CM, PERFURAÇÃO COM EQUIPAMENTO MANUAL E ARMADURA COM DIÂMETRO DE 20 MM.</c:v>
                </c:pt>
                <c:pt idx="4">
                  <c:v>DRENO PROFUNDO</c:v>
                </c:pt>
                <c:pt idx="5">
                  <c:v>CONCRETAGEM DE CORTINA DE CONTENÇÃO, ATRAVÉS DE BOMBA LANÇAMENTO, ADENSAMENTO E ACABAMENTO.</c:v>
                </c:pt>
                <c:pt idx="6">
                  <c:v>ARMAÇÃO DE CORTINA DE CONTENÇÃO EM CONCRETO ARMADO, COM AÇO CA-50 DE 16 MM – MONTAGEM.</c:v>
                </c:pt>
                <c:pt idx="7">
                  <c:v>CONCRETAGEM DE CORTINA DE CONTENÇÃO, ATRAVÉS DE BOMBA LANÇAMENTO, ADENSAMENTO E ACABAMENTO.</c:v>
                </c:pt>
                <c:pt idx="8">
                  <c:v>ARMAÇÃO DE CORTINA DE CONTENÇÃO EM CONCRETO ARMADO, COM AÇO CA-50 DE 16 MM – MONTAGEM.</c:v>
                </c:pt>
                <c:pt idx="9">
                  <c:v>PINTURA COM TINTA ALQUÍDICA DE FUNDO (TIPO ZARCÃO) PULVERIZADA SOBRE SUPERFÍCIES METÁLICAS (EXCETO PERFIL) EXECUTADO EM OBRA (POR DEMÃO).</c:v>
                </c:pt>
                <c:pt idx="10">
                  <c:v>TESTE DE FLUENCIA, RECEBIMENTO E QUALIFICAÇÃO</c:v>
                </c:pt>
                <c:pt idx="11">
                  <c:v>PINTURA COM TINTA ALQUÍDICA DE FUNDO (TIPO ZARCÃO) PULVERIZADA SOBRE SUPERFÍCIES METÁLICAS (EXCETO PERFIL) EXECUTADO EM OBRA (POR DEMÃO).</c:v>
                </c:pt>
                <c:pt idx="12">
                  <c:v>EXECUÇÃO DE DEPÓSITO EM CANTEIRO DE OBRA EM CHAPA DE MADEIRA COMPENSADA, NÃO INCLUSO MOBILIÁRIO.</c:v>
                </c:pt>
                <c:pt idx="13">
                  <c:v>MANTA GEOTEXTIL TECIDO DE LAMINETES DE POLIPROPILENO, RESISTENCIA A TRACAO = *25* KN/M</c:v>
                </c:pt>
                <c:pt idx="14">
                  <c:v>TRANSPORTE COM CAMINHÃO BASCULANTE DE 6 M³, EM VIA URBANA EM REVESTIME NTO PRIMÁRIO (UNIDADE: M3XKM).</c:v>
                </c:pt>
                <c:pt idx="15">
                  <c:v>FABRICAÇÃO, MONTAGEM E DESMONTAGEM DE FÔRMA PARA CORTINA DE CONTENÇÃO, EM CHAPA DE MADEIRA COMPENSADA PLASTIFICADA, E = 18 MM, 10 UTILIZAÇÕES. (INCLUSO ESCORAMENTO)</c:v>
                </c:pt>
                <c:pt idx="16">
                  <c:v>FABRICAÇÃO, MONTAGEM E DESMONTAGEM DE FÔRMA PARA CORTINA DE CONTENÇÃO, EM CHAPA DE MADEIRA COMPENSADA PLASTIFICADA, E = 18 MM, 10 UTILIZAÇÕES (INCLUSO ESCORAMENTO)</c:v>
                </c:pt>
                <c:pt idx="17">
                  <c:v>CANALETA MEIA CANA PRÉ-MOLDADA DE CONCRETO (D = 30 CM) - FORNECIMENTO  E INSTALAÇÃO </c:v>
                </c:pt>
                <c:pt idx="18">
                  <c:v>CARGA, MANOBRA E DESCARGA DE SOLOS E MATERIAIS GRANULARES EM CAMINHÃO M3 BASCULANTE 6 M³ - CARGA COM PÁ CARREGADEIRA</c:v>
                </c:pt>
                <c:pt idx="19">
                  <c:v>TRANSPORTE COM CAMINHÃO BASCULANTE DE 6 M³, EM VIA URBANA PAVIMENTADA,  ATÉ 30 KM (UNIDADE: M3XKM).</c:v>
                </c:pt>
                <c:pt idx="20">
                  <c:v>EXECUÇÃO E COMPACTAÇÃO DE ATERRO COM SOLO PREDOMINANTEMENTE ARGILOSO – EXCLUSIVE SOLO, ESCAVAÇÃO, CARGA E TRANSPORTE.</c:v>
                </c:pt>
                <c:pt idx="21">
                  <c:v>TRATAMENTO DE JUNTA DE DILATAÇÃO, COM TARUGO DE POLIETILENO E SELANTE, INCLUSO PREENCHIMENTO COM ESPUMA EXPANSIVA PU.</c:v>
                </c:pt>
                <c:pt idx="22">
                  <c:v>ESCAVAÇÃO HORIZONTAL EM SOLO DE 1A CATEGORIA COM TRATOR DE ESTEIRAS (100HP/LÂMINA: 2,19M3).</c:v>
                </c:pt>
                <c:pt idx="23">
                  <c:v>DRENO RASO</c:v>
                </c:pt>
                <c:pt idx="24">
                  <c:v>CAIXA ENTERRADA HIDRÁULICA RETANGULAR EM ALVENARIA COM TIJOLOS CERÂMICOS MACIÇOS, DIMENSÕES INTERNAS: 0,4X0,4X0,4 M PARA REDE DE DRENAGEM</c:v>
                </c:pt>
                <c:pt idx="25">
                  <c:v>TRATAMENTO DE JUNTA DE DILATAÇÃO, COM TARUGO DE POLIETILENO E SELANTE, INCLUSO PREENCHIMENTO COM ESPUMA EXPANSIVA PU.</c:v>
                </c:pt>
                <c:pt idx="26">
                  <c:v>PLACA DE OBRA</c:v>
                </c:pt>
                <c:pt idx="27">
                  <c:v>LIMPEZA MANUAL DE VEGETAÇÃO EM TERRENO COM ENXADA</c:v>
                </c:pt>
                <c:pt idx="28">
                  <c:v>EXECUÇÃO DE PROTEÇÃO DA CABEÇA DO TIRANTE COM USO DE FÔRMAS EM CHAPA COMPENSADA PLASTIFICADA DE MADEIRA E CONCRETO FCK =15 MPA.</c:v>
                </c:pt>
                <c:pt idx="29">
                  <c:v>EXECUÇÃO DE PROTEÇÃO DA CABEÇA DO TIRANTE COM USO DE FÔRMAS EM CHAPA COMPENSADA PLASTIFICADA DE MADEIRA E CONCRETO FCK =15 MPA.</c:v>
                </c:pt>
                <c:pt idx="30">
                  <c:v>LIMPEZA DE SUPERFÍCIE COM JATO DE ALTA PRESSÃO</c:v>
                </c:pt>
                <c:pt idx="31">
                  <c:v>EQUIPE DE TOPOGRAFIA COMPOSTA DE 1 TOPOGRAFO. AUXILIAR DE TOPOGRAFIA, TEODOLITO E DEMAIS ACESSÓRIOS, INCLUINDO DESENHO</c:v>
                </c:pt>
              </c:strCache>
            </c:strRef>
          </c:cat>
          <c:val>
            <c:numRef>
              <c:f>'CURVA ABC'!$I$7:$I$38</c:f>
              <c:numCache>
                <c:formatCode>0.00%</c:formatCode>
                <c:ptCount val="32"/>
                <c:pt idx="0">
                  <c:v>0.19323544454309313</c:v>
                </c:pt>
                <c:pt idx="1">
                  <c:v>0.14257229201418969</c:v>
                </c:pt>
                <c:pt idx="2">
                  <c:v>0.10435375112714133</c:v>
                </c:pt>
                <c:pt idx="3">
                  <c:v>8.1164028654443249E-2</c:v>
                </c:pt>
                <c:pt idx="4">
                  <c:v>8.0273039243231717E-2</c:v>
                </c:pt>
                <c:pt idx="5">
                  <c:v>6.1233092579819993E-2</c:v>
                </c:pt>
                <c:pt idx="6">
                  <c:v>5.2496772633198789E-2</c:v>
                </c:pt>
                <c:pt idx="7">
                  <c:v>4.5275099416563824E-2</c:v>
                </c:pt>
                <c:pt idx="8">
                  <c:v>4.1976976985853884E-2</c:v>
                </c:pt>
                <c:pt idx="9">
                  <c:v>3.6429922123723577E-2</c:v>
                </c:pt>
                <c:pt idx="10">
                  <c:v>3.5357549045809358E-2</c:v>
                </c:pt>
                <c:pt idx="11">
                  <c:v>2.7266957158981728E-2</c:v>
                </c:pt>
                <c:pt idx="12">
                  <c:v>1.9153363983836443E-2</c:v>
                </c:pt>
                <c:pt idx="13">
                  <c:v>2.2195078847668777E-3</c:v>
                </c:pt>
                <c:pt idx="14">
                  <c:v>1.4705049684194537E-2</c:v>
                </c:pt>
                <c:pt idx="15">
                  <c:v>1.2268102271241345E-2</c:v>
                </c:pt>
                <c:pt idx="16">
                  <c:v>9.0709047441787233E-3</c:v>
                </c:pt>
                <c:pt idx="17">
                  <c:v>6.0990783449037045E-3</c:v>
                </c:pt>
                <c:pt idx="18">
                  <c:v>1.4021061693645844E-3</c:v>
                </c:pt>
                <c:pt idx="19">
                  <c:v>5.1544087671530773E-3</c:v>
                </c:pt>
                <c:pt idx="20">
                  <c:v>5.0435600993274906E-3</c:v>
                </c:pt>
                <c:pt idx="21">
                  <c:v>3.1844255062095988E-3</c:v>
                </c:pt>
                <c:pt idx="22">
                  <c:v>7.7299521345973259E-4</c:v>
                </c:pt>
                <c:pt idx="23">
                  <c:v>2.9553903657987615E-3</c:v>
                </c:pt>
                <c:pt idx="24">
                  <c:v>2.9323063097101382E-3</c:v>
                </c:pt>
                <c:pt idx="25">
                  <c:v>2.8857983991417398E-3</c:v>
                </c:pt>
                <c:pt idx="26">
                  <c:v>2.4954443209690377E-3</c:v>
                </c:pt>
                <c:pt idx="27">
                  <c:v>1.6047505974693872E-3</c:v>
                </c:pt>
                <c:pt idx="28">
                  <c:v>1.4854175869480934E-3</c:v>
                </c:pt>
                <c:pt idx="29">
                  <c:v>1.155324789848517E-3</c:v>
                </c:pt>
                <c:pt idx="30">
                  <c:v>3.0246357001696878E-3</c:v>
                </c:pt>
                <c:pt idx="31">
                  <c:v>7.5250373525851809E-4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6-4BCA-9702-1B3079CA6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8165808"/>
        <c:axId val="1922901632"/>
      </c:barChart>
      <c:lineChart>
        <c:grouping val="standard"/>
        <c:varyColors val="0"/>
        <c:ser>
          <c:idx val="1"/>
          <c:order val="1"/>
          <c:tx>
            <c:strRef>
              <c:f>'CURVA ABC'!$J$6</c:f>
              <c:strCache>
                <c:ptCount val="1"/>
                <c:pt idx="0">
                  <c:v>Percentual acumulado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'CURVA ABC'!$A$7:$A$38</c:f>
              <c:strCache>
                <c:ptCount val="32"/>
                <c:pt idx="0">
                  <c:v>ARMAÇÃO DE CORTINA DE CONTENÇÃO EM CONCRETO ARMADO, COM AÇO CA-50 DE 10 MM – MONTAGEM</c:v>
                </c:pt>
                <c:pt idx="1">
                  <c:v>ARMAÇÃO DE CORTINA DE CONTENÇÃO EM CONCRETO ARMADO, COM AÇO CA-50 DE 10 MM – MONTAGEM</c:v>
                </c:pt>
                <c:pt idx="2">
                  <c:v>EXECUÇÃO DE GRAMPO PARA SOLO GRAMPEADO COM COMPRIMENTO MAIOR QUE 10 M, DIÂMETRO DE 7 CM, PERFURAÇÃO COM EQUIPAMENTO MANUAL E ARMADURA COM DIÂMETRO DE 20 MM.</c:v>
                </c:pt>
                <c:pt idx="3">
                  <c:v>EXECUÇÃO DE GRAMPO PARA SOLO GRAMPEADO COM COMPRIMENTO MAIOR QUE 10 M, DIÂMETRO DE 7 CM, PERFURAÇÃO COM EQUIPAMENTO MANUAL E ARMADURA COM DIÂMETRO DE 20 MM.</c:v>
                </c:pt>
                <c:pt idx="4">
                  <c:v>DRENO PROFUNDO</c:v>
                </c:pt>
                <c:pt idx="5">
                  <c:v>CONCRETAGEM DE CORTINA DE CONTENÇÃO, ATRAVÉS DE BOMBA LANÇAMENTO, ADENSAMENTO E ACABAMENTO.</c:v>
                </c:pt>
                <c:pt idx="6">
                  <c:v>ARMAÇÃO DE CORTINA DE CONTENÇÃO EM CONCRETO ARMADO, COM AÇO CA-50 DE 16 MM – MONTAGEM.</c:v>
                </c:pt>
                <c:pt idx="7">
                  <c:v>CONCRETAGEM DE CORTINA DE CONTENÇÃO, ATRAVÉS DE BOMBA LANÇAMENTO, ADENSAMENTO E ACABAMENTO.</c:v>
                </c:pt>
                <c:pt idx="8">
                  <c:v>ARMAÇÃO DE CORTINA DE CONTENÇÃO EM CONCRETO ARMADO, COM AÇO CA-50 DE 16 MM – MONTAGEM.</c:v>
                </c:pt>
                <c:pt idx="9">
                  <c:v>PINTURA COM TINTA ALQUÍDICA DE FUNDO (TIPO ZARCÃO) PULVERIZADA SOBRE SUPERFÍCIES METÁLICAS (EXCETO PERFIL) EXECUTADO EM OBRA (POR DEMÃO).</c:v>
                </c:pt>
                <c:pt idx="10">
                  <c:v>TESTE DE FLUENCIA, RECEBIMENTO E QUALIFICAÇÃO</c:v>
                </c:pt>
                <c:pt idx="11">
                  <c:v>PINTURA COM TINTA ALQUÍDICA DE FUNDO (TIPO ZARCÃO) PULVERIZADA SOBRE SUPERFÍCIES METÁLICAS (EXCETO PERFIL) EXECUTADO EM OBRA (POR DEMÃO).</c:v>
                </c:pt>
                <c:pt idx="12">
                  <c:v>EXECUÇÃO DE DEPÓSITO EM CANTEIRO DE OBRA EM CHAPA DE MADEIRA COMPENSADA, NÃO INCLUSO MOBILIÁRIO.</c:v>
                </c:pt>
                <c:pt idx="13">
                  <c:v>MANTA GEOTEXTIL TECIDO DE LAMINETES DE POLIPROPILENO, RESISTENCIA A TRACAO = *25* KN/M</c:v>
                </c:pt>
                <c:pt idx="14">
                  <c:v>TRANSPORTE COM CAMINHÃO BASCULANTE DE 6 M³, EM VIA URBANA EM REVESTIME NTO PRIMÁRIO (UNIDADE: M3XKM).</c:v>
                </c:pt>
                <c:pt idx="15">
                  <c:v>FABRICAÇÃO, MONTAGEM E DESMONTAGEM DE FÔRMA PARA CORTINA DE CONTENÇÃO, EM CHAPA DE MADEIRA COMPENSADA PLASTIFICADA, E = 18 MM, 10 UTILIZAÇÕES. (INCLUSO ESCORAMENTO)</c:v>
                </c:pt>
                <c:pt idx="16">
                  <c:v>FABRICAÇÃO, MONTAGEM E DESMONTAGEM DE FÔRMA PARA CORTINA DE CONTENÇÃO, EM CHAPA DE MADEIRA COMPENSADA PLASTIFICADA, E = 18 MM, 10 UTILIZAÇÕES (INCLUSO ESCORAMENTO)</c:v>
                </c:pt>
                <c:pt idx="17">
                  <c:v>CANALETA MEIA CANA PRÉ-MOLDADA DE CONCRETO (D = 30 CM) - FORNECIMENTO  E INSTALAÇÃO </c:v>
                </c:pt>
                <c:pt idx="18">
                  <c:v>CARGA, MANOBRA E DESCARGA DE SOLOS E MATERIAIS GRANULARES EM CAMINHÃO M3 BASCULANTE 6 M³ - CARGA COM PÁ CARREGADEIRA</c:v>
                </c:pt>
                <c:pt idx="19">
                  <c:v>TRANSPORTE COM CAMINHÃO BASCULANTE DE 6 M³, EM VIA URBANA PAVIMENTADA,  ATÉ 30 KM (UNIDADE: M3XKM).</c:v>
                </c:pt>
                <c:pt idx="20">
                  <c:v>EXECUÇÃO E COMPACTAÇÃO DE ATERRO COM SOLO PREDOMINANTEMENTE ARGILOSO – EXCLUSIVE SOLO, ESCAVAÇÃO, CARGA E TRANSPORTE.</c:v>
                </c:pt>
                <c:pt idx="21">
                  <c:v>TRATAMENTO DE JUNTA DE DILATAÇÃO, COM TARUGO DE POLIETILENO E SELANTE, INCLUSO PREENCHIMENTO COM ESPUMA EXPANSIVA PU.</c:v>
                </c:pt>
                <c:pt idx="22">
                  <c:v>ESCAVAÇÃO HORIZONTAL EM SOLO DE 1A CATEGORIA COM TRATOR DE ESTEIRAS (100HP/LÂMINA: 2,19M3).</c:v>
                </c:pt>
                <c:pt idx="23">
                  <c:v>DRENO RASO</c:v>
                </c:pt>
                <c:pt idx="24">
                  <c:v>CAIXA ENTERRADA HIDRÁULICA RETANGULAR EM ALVENARIA COM TIJOLOS CERÂMICOS MACIÇOS, DIMENSÕES INTERNAS: 0,4X0,4X0,4 M PARA REDE DE DRENAGEM</c:v>
                </c:pt>
                <c:pt idx="25">
                  <c:v>TRATAMENTO DE JUNTA DE DILATAÇÃO, COM TARUGO DE POLIETILENO E SELANTE, INCLUSO PREENCHIMENTO COM ESPUMA EXPANSIVA PU.</c:v>
                </c:pt>
                <c:pt idx="26">
                  <c:v>PLACA DE OBRA</c:v>
                </c:pt>
                <c:pt idx="27">
                  <c:v>LIMPEZA MANUAL DE VEGETAÇÃO EM TERRENO COM ENXADA</c:v>
                </c:pt>
                <c:pt idx="28">
                  <c:v>EXECUÇÃO DE PROTEÇÃO DA CABEÇA DO TIRANTE COM USO DE FÔRMAS EM CHAPA COMPENSADA PLASTIFICADA DE MADEIRA E CONCRETO FCK =15 MPA.</c:v>
                </c:pt>
                <c:pt idx="29">
                  <c:v>EXECUÇÃO DE PROTEÇÃO DA CABEÇA DO TIRANTE COM USO DE FÔRMAS EM CHAPA COMPENSADA PLASTIFICADA DE MADEIRA E CONCRETO FCK =15 MPA.</c:v>
                </c:pt>
                <c:pt idx="30">
                  <c:v>LIMPEZA DE SUPERFÍCIE COM JATO DE ALTA PRESSÃO</c:v>
                </c:pt>
                <c:pt idx="31">
                  <c:v>EQUIPE DE TOPOGRAFIA COMPOSTA DE 1 TOPOGRAFO. AUXILIAR DE TOPOGRAFIA, TEODOLITO E DEMAIS ACESSÓRIOS, INCLUINDO DESENHO</c:v>
                </c:pt>
              </c:strCache>
            </c:strRef>
          </c:cat>
          <c:val>
            <c:numRef>
              <c:f>'CURVA ABC'!$J$7:$J$38</c:f>
              <c:numCache>
                <c:formatCode>0.00%</c:formatCode>
                <c:ptCount val="32"/>
                <c:pt idx="0">
                  <c:v>0.19323544454309313</c:v>
                </c:pt>
                <c:pt idx="1">
                  <c:v>0.3358077365572828</c:v>
                </c:pt>
                <c:pt idx="2">
                  <c:v>0.44016148768442415</c:v>
                </c:pt>
                <c:pt idx="3">
                  <c:v>0.52132551633886737</c:v>
                </c:pt>
                <c:pt idx="4">
                  <c:v>0.60159855558209907</c:v>
                </c:pt>
                <c:pt idx="5">
                  <c:v>0.66283164816191908</c:v>
                </c:pt>
                <c:pt idx="6">
                  <c:v>0.71532842079511783</c:v>
                </c:pt>
                <c:pt idx="7">
                  <c:v>0.76060352021168165</c:v>
                </c:pt>
                <c:pt idx="8">
                  <c:v>0.80258049719753555</c:v>
                </c:pt>
                <c:pt idx="9">
                  <c:v>0.83901041932125908</c:v>
                </c:pt>
                <c:pt idx="10">
                  <c:v>0.87436796836706843</c:v>
                </c:pt>
                <c:pt idx="11">
                  <c:v>0.90163492552605018</c:v>
                </c:pt>
                <c:pt idx="12">
                  <c:v>0.92078828950988667</c:v>
                </c:pt>
                <c:pt idx="13">
                  <c:v>0.92300779739465355</c:v>
                </c:pt>
                <c:pt idx="14">
                  <c:v>0.93771284707884806</c:v>
                </c:pt>
                <c:pt idx="15">
                  <c:v>0.94998094935008937</c:v>
                </c:pt>
                <c:pt idx="16">
                  <c:v>0.95905185409426807</c:v>
                </c:pt>
                <c:pt idx="17">
                  <c:v>0.96515093243917183</c:v>
                </c:pt>
                <c:pt idx="18">
                  <c:v>0.96655303860853636</c:v>
                </c:pt>
                <c:pt idx="19">
                  <c:v>0.97170744737568948</c:v>
                </c:pt>
                <c:pt idx="20">
                  <c:v>0.97675100747501697</c:v>
                </c:pt>
                <c:pt idx="21">
                  <c:v>0.97993543298122654</c:v>
                </c:pt>
                <c:pt idx="22">
                  <c:v>0.98070842819468629</c:v>
                </c:pt>
                <c:pt idx="23">
                  <c:v>0.98366381856048501</c:v>
                </c:pt>
                <c:pt idx="24">
                  <c:v>0.9865961248701951</c:v>
                </c:pt>
                <c:pt idx="25">
                  <c:v>0.98948192326933682</c:v>
                </c:pt>
                <c:pt idx="26">
                  <c:v>0.99197736759030586</c:v>
                </c:pt>
                <c:pt idx="27">
                  <c:v>0.9935821181877752</c:v>
                </c:pt>
                <c:pt idx="28">
                  <c:v>0.99506753577472329</c:v>
                </c:pt>
                <c:pt idx="29">
                  <c:v>0.99622286056457177</c:v>
                </c:pt>
                <c:pt idx="30">
                  <c:v>0.99924749626474141</c:v>
                </c:pt>
                <c:pt idx="31">
                  <c:v>0.99999999999999989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E6-4BCA-9702-1B3079CA6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165808"/>
        <c:axId val="1922901632"/>
      </c:lineChart>
      <c:catAx>
        <c:axId val="21081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22901632"/>
        <c:crosses val="autoZero"/>
        <c:auto val="1"/>
        <c:lblAlgn val="ctr"/>
        <c:lblOffset val="100"/>
        <c:noMultiLvlLbl val="0"/>
      </c:catAx>
      <c:valAx>
        <c:axId val="192290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816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0</xdr:row>
      <xdr:rowOff>28575</xdr:rowOff>
    </xdr:from>
    <xdr:to>
      <xdr:col>1</xdr:col>
      <xdr:colOff>923924</xdr:colOff>
      <xdr:row>4</xdr:row>
      <xdr:rowOff>107950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CEC09D4-7A84-47ED-BD43-E045E3FC0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49" y="28575"/>
          <a:ext cx="904875" cy="784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172080</xdr:colOff>
      <xdr:row>0</xdr:row>
      <xdr:rowOff>37440</xdr:rowOff>
    </xdr:from>
    <xdr:to>
      <xdr:col>2</xdr:col>
      <xdr:colOff>1090080</xdr:colOff>
      <xdr:row>3</xdr:row>
      <xdr:rowOff>174600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2080" y="37440"/>
          <a:ext cx="2026440" cy="746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57600</xdr:colOff>
      <xdr:row>2</xdr:row>
      <xdr:rowOff>65160</xdr:rowOff>
    </xdr:from>
    <xdr:to>
      <xdr:col>4</xdr:col>
      <xdr:colOff>1441080</xdr:colOff>
      <xdr:row>3</xdr:row>
      <xdr:rowOff>124200</xdr:rowOff>
    </xdr:to>
    <xdr:pic>
      <xdr:nvPicPr>
        <xdr:cNvPr id="2" name="Picture 1_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872720" y="446040"/>
          <a:ext cx="1988640" cy="502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</xdr:colOff>
      <xdr:row>0</xdr:row>
      <xdr:rowOff>15120</xdr:rowOff>
    </xdr:from>
    <xdr:to>
      <xdr:col>2</xdr:col>
      <xdr:colOff>933120</xdr:colOff>
      <xdr:row>3</xdr:row>
      <xdr:rowOff>152280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120" y="15120"/>
          <a:ext cx="2026440" cy="736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</xdr:colOff>
      <xdr:row>0</xdr:row>
      <xdr:rowOff>14400</xdr:rowOff>
    </xdr:from>
    <xdr:to>
      <xdr:col>2</xdr:col>
      <xdr:colOff>934200</xdr:colOff>
      <xdr:row>3</xdr:row>
      <xdr:rowOff>75240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120" y="14400"/>
          <a:ext cx="2027520" cy="708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44824</xdr:colOff>
      <xdr:row>1</xdr:row>
      <xdr:rowOff>33617</xdr:rowOff>
    </xdr:from>
    <xdr:to>
      <xdr:col>32</xdr:col>
      <xdr:colOff>627530</xdr:colOff>
      <xdr:row>12</xdr:row>
      <xdr:rowOff>593912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8297073-72C1-4054-8968-9EB9FCCA4A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is_\Downloads\danpf\Desktop\Trabalho\Agencia%20Nacional%20de%20Minera&#231;&#227;o%20-%20ANM\Execu&#231;&#227;o%20dos%20Servi&#231;os\Etapa%204%20-%20Or&#231;amento%20e%20Memorias%20de%20Calculo\MODELO%20OR&#199;AMENTO%20AN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B09EE-A3CD-4D61-8283-0A3771DE8A24}">
  <dimension ref="A1:D10"/>
  <sheetViews>
    <sheetView showGridLines="0" tabSelected="1" workbookViewId="0">
      <selection activeCell="D5" sqref="D5"/>
    </sheetView>
  </sheetViews>
  <sheetFormatPr defaultRowHeight="14.25" x14ac:dyDescent="0.2"/>
  <cols>
    <col min="2" max="2" width="12.625" customWidth="1"/>
    <col min="3" max="3" width="69.625" bestFit="1" customWidth="1"/>
    <col min="4" max="4" width="30.125" customWidth="1"/>
  </cols>
  <sheetData>
    <row r="1" spans="1:4" x14ac:dyDescent="0.2">
      <c r="A1" s="238" t="s">
        <v>265</v>
      </c>
      <c r="B1" s="241"/>
      <c r="C1" s="165" t="s">
        <v>266</v>
      </c>
      <c r="D1" s="166"/>
    </row>
    <row r="2" spans="1:4" x14ac:dyDescent="0.2">
      <c r="A2" s="239"/>
      <c r="B2" s="242"/>
      <c r="C2" s="167" t="s">
        <v>267</v>
      </c>
      <c r="D2" s="168"/>
    </row>
    <row r="3" spans="1:4" x14ac:dyDescent="0.2">
      <c r="A3" s="239"/>
      <c r="B3" s="242"/>
      <c r="C3" s="169" t="s">
        <v>271</v>
      </c>
      <c r="D3" s="170"/>
    </row>
    <row r="4" spans="1:4" x14ac:dyDescent="0.2">
      <c r="A4" s="239"/>
      <c r="B4" s="242"/>
      <c r="C4" s="171" t="s">
        <v>268</v>
      </c>
      <c r="D4" s="172" t="s">
        <v>293</v>
      </c>
    </row>
    <row r="5" spans="1:4" ht="15" thickBot="1" x14ac:dyDescent="0.25">
      <c r="A5" s="240"/>
      <c r="B5" s="243"/>
      <c r="C5" s="173"/>
      <c r="D5" s="174"/>
    </row>
    <row r="6" spans="1:4" ht="15" thickBot="1" x14ac:dyDescent="0.25">
      <c r="A6" s="244"/>
      <c r="B6" s="245"/>
      <c r="C6" s="175" t="s">
        <v>153</v>
      </c>
      <c r="D6" s="176" t="s">
        <v>13</v>
      </c>
    </row>
    <row r="7" spans="1:4" x14ac:dyDescent="0.2">
      <c r="A7" s="246"/>
      <c r="B7" s="247"/>
      <c r="C7" s="181"/>
      <c r="D7" s="182"/>
    </row>
    <row r="8" spans="1:4" x14ac:dyDescent="0.2">
      <c r="A8" s="248"/>
      <c r="B8" s="249"/>
      <c r="C8" s="177" t="s">
        <v>269</v>
      </c>
      <c r="D8" s="178">
        <f>'PLANILHA ORÇAMENTÁRIA'!M55</f>
        <v>469870.08303115051</v>
      </c>
    </row>
    <row r="9" spans="1:4" x14ac:dyDescent="0.2">
      <c r="A9" s="248"/>
      <c r="B9" s="249"/>
      <c r="C9" s="177" t="s">
        <v>273</v>
      </c>
      <c r="D9" s="178">
        <f>TAD!L16</f>
        <v>30026.784479999998</v>
      </c>
    </row>
    <row r="10" spans="1:4" ht="15" thickBot="1" x14ac:dyDescent="0.25">
      <c r="A10" s="236"/>
      <c r="B10" s="237"/>
      <c r="C10" s="179" t="s">
        <v>270</v>
      </c>
      <c r="D10" s="180">
        <f>SUM(D8:D9)</f>
        <v>499896.86751115049</v>
      </c>
    </row>
  </sheetData>
  <mergeCells count="7">
    <mergeCell ref="A10:B10"/>
    <mergeCell ref="A1:A5"/>
    <mergeCell ref="B1:B5"/>
    <mergeCell ref="A6:B6"/>
    <mergeCell ref="A7:B7"/>
    <mergeCell ref="A8:B8"/>
    <mergeCell ref="A9:B9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57"/>
  <sheetViews>
    <sheetView showGridLines="0" zoomScale="85" zoomScaleNormal="85" workbookViewId="0">
      <selection activeCell="M54" sqref="M54"/>
    </sheetView>
  </sheetViews>
  <sheetFormatPr defaultColWidth="8.375" defaultRowHeight="15.75" x14ac:dyDescent="0.2"/>
  <cols>
    <col min="1" max="1" width="6.375" style="1" customWidth="1"/>
    <col min="2" max="2" width="8" style="1" customWidth="1"/>
    <col min="3" max="3" width="17.625" style="2" customWidth="1"/>
    <col min="4" max="4" width="48.125" style="3" customWidth="1"/>
    <col min="5" max="5" width="10" style="1" customWidth="1"/>
    <col min="6" max="6" width="8.75" style="4" customWidth="1"/>
    <col min="7" max="7" width="51.25" style="3" customWidth="1"/>
    <col min="8" max="8" width="11.375" style="5" customWidth="1"/>
    <col min="9" max="9" width="12.875" style="5" customWidth="1"/>
    <col min="10" max="10" width="11.375" style="6" customWidth="1"/>
    <col min="11" max="11" width="11.375" style="5" customWidth="1"/>
    <col min="12" max="12" width="12.875" style="5" customWidth="1"/>
    <col min="13" max="13" width="21.5" style="5" customWidth="1"/>
    <col min="14" max="64" width="8.375" style="1"/>
  </cols>
  <sheetData>
    <row r="1" spans="1:64" ht="16.5" customHeight="1" x14ac:dyDescent="0.2">
      <c r="A1" s="250"/>
      <c r="B1" s="250"/>
      <c r="C1" s="250"/>
      <c r="D1" s="251" t="s">
        <v>0</v>
      </c>
      <c r="E1" s="251"/>
      <c r="F1" s="251"/>
      <c r="G1" s="251"/>
      <c r="H1" s="251"/>
      <c r="I1" s="251"/>
      <c r="J1" s="251"/>
      <c r="K1" s="251"/>
      <c r="L1" s="251"/>
      <c r="M1" s="251"/>
    </row>
    <row r="2" spans="1:64" x14ac:dyDescent="0.2">
      <c r="A2" s="250"/>
      <c r="B2" s="250"/>
      <c r="C2" s="250"/>
      <c r="D2" s="251"/>
      <c r="E2" s="251"/>
      <c r="F2" s="251"/>
      <c r="G2" s="251"/>
      <c r="H2" s="251"/>
      <c r="I2" s="251"/>
      <c r="J2" s="251"/>
      <c r="K2" s="251"/>
      <c r="L2" s="251"/>
      <c r="M2" s="251"/>
    </row>
    <row r="3" spans="1:64" x14ac:dyDescent="0.2">
      <c r="A3" s="250"/>
      <c r="B3" s="250"/>
      <c r="C3" s="250"/>
      <c r="D3" s="251"/>
      <c r="E3" s="251"/>
      <c r="F3" s="251"/>
      <c r="G3" s="251"/>
      <c r="H3" s="251"/>
      <c r="I3" s="251"/>
      <c r="J3" s="251"/>
      <c r="K3" s="251"/>
      <c r="L3" s="251"/>
      <c r="M3" s="251"/>
    </row>
    <row r="4" spans="1:64" x14ac:dyDescent="0.2">
      <c r="A4" s="250"/>
      <c r="B4" s="250"/>
      <c r="C4" s="250"/>
      <c r="D4" s="251"/>
      <c r="E4" s="251"/>
      <c r="F4" s="251"/>
      <c r="G4" s="251"/>
      <c r="H4" s="251"/>
      <c r="I4" s="251"/>
      <c r="J4" s="251"/>
      <c r="K4" s="251"/>
      <c r="L4" s="251"/>
      <c r="M4" s="251"/>
    </row>
    <row r="5" spans="1:64" ht="15.75" customHeight="1" x14ac:dyDescent="0.2">
      <c r="A5" s="252" t="s">
        <v>1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</row>
    <row r="6" spans="1:64" ht="15.75" customHeight="1" x14ac:dyDescent="0.2">
      <c r="A6" s="252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</row>
    <row r="7" spans="1:64" ht="15.75" customHeight="1" x14ac:dyDescent="0.2">
      <c r="A7" s="252"/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</row>
    <row r="8" spans="1:64" ht="15.75" customHeight="1" x14ac:dyDescent="0.2">
      <c r="A8" s="252"/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</row>
    <row r="9" spans="1:64" ht="15.75" customHeight="1" x14ac:dyDescent="0.2">
      <c r="A9" s="252"/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</row>
    <row r="10" spans="1:64" ht="15.75" customHeight="1" x14ac:dyDescent="0.2">
      <c r="A10" s="252"/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</row>
    <row r="11" spans="1:64" ht="27.6" customHeight="1" x14ac:dyDescent="0.2">
      <c r="A11" s="253" t="s">
        <v>274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</row>
    <row r="12" spans="1:64" ht="47.25" x14ac:dyDescent="0.2">
      <c r="A12" s="7" t="s">
        <v>2</v>
      </c>
      <c r="B12" s="8" t="s">
        <v>3</v>
      </c>
      <c r="C12" s="9" t="s">
        <v>4</v>
      </c>
      <c r="D12" s="10" t="s">
        <v>5</v>
      </c>
      <c r="E12" s="8" t="s">
        <v>6</v>
      </c>
      <c r="F12" s="11" t="s">
        <v>7</v>
      </c>
      <c r="G12" s="10" t="s">
        <v>8</v>
      </c>
      <c r="H12" s="12" t="s">
        <v>9</v>
      </c>
      <c r="I12" s="12" t="s">
        <v>10</v>
      </c>
      <c r="J12" s="13" t="s">
        <v>11</v>
      </c>
      <c r="K12" s="12" t="s">
        <v>12</v>
      </c>
      <c r="L12" s="12" t="s">
        <v>13</v>
      </c>
      <c r="M12" s="14" t="s">
        <v>14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x14ac:dyDescent="0.2">
      <c r="A13" s="16">
        <v>1</v>
      </c>
      <c r="B13" s="254" t="s">
        <v>15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</row>
    <row r="14" spans="1:64" ht="38.25" x14ac:dyDescent="0.2">
      <c r="A14" s="17" t="s">
        <v>16</v>
      </c>
      <c r="B14" s="18" t="s">
        <v>17</v>
      </c>
      <c r="C14" s="19" t="s">
        <v>18</v>
      </c>
      <c r="D14" s="20" t="s">
        <v>19</v>
      </c>
      <c r="E14" s="18" t="s">
        <v>20</v>
      </c>
      <c r="F14" s="21">
        <f>((((5+6)*10.6)/2)+(((5+1)*12.04)/2)+(((1+6)*9.24)/2))+((((5+6)*9.74)/2)+(((5+1)*5.37)/2)+(((1+6)*6.87)/2))</f>
        <v>220.48500000000001</v>
      </c>
      <c r="G14" s="22" t="s">
        <v>21</v>
      </c>
      <c r="H14" s="162">
        <v>2.69</v>
      </c>
      <c r="I14" s="23">
        <f t="shared" ref="I14:I25" si="0">H14*F14</f>
        <v>593.10464999999999</v>
      </c>
      <c r="J14" s="24">
        <v>0.2495</v>
      </c>
      <c r="K14" s="23">
        <f t="shared" ref="K14:K25" si="1">H14+(H14*J14)</f>
        <v>3.3611550000000001</v>
      </c>
      <c r="L14" s="23">
        <f t="shared" ref="L14:L25" si="2">K14*F14</f>
        <v>741.08426017500005</v>
      </c>
      <c r="M14" s="25">
        <f t="shared" ref="M14:M25" si="3">L14/$M$55</f>
        <v>1.5772109928647428E-3</v>
      </c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</row>
    <row r="15" spans="1:64" ht="25.5" customHeight="1" x14ac:dyDescent="0.2">
      <c r="A15" s="17" t="s">
        <v>22</v>
      </c>
      <c r="B15" s="18" t="s">
        <v>23</v>
      </c>
      <c r="C15" s="19" t="s">
        <v>24</v>
      </c>
      <c r="D15" s="20" t="s">
        <v>25</v>
      </c>
      <c r="E15" s="18" t="s">
        <v>20</v>
      </c>
      <c r="F15" s="21">
        <f>1.8*1.1</f>
        <v>1.9800000000000002</v>
      </c>
      <c r="G15" s="22" t="s">
        <v>26</v>
      </c>
      <c r="H15" s="162">
        <f>'COMPOSIÇÃO PRÓPRIA '!J23</f>
        <v>465.8075</v>
      </c>
      <c r="I15" s="23">
        <f t="shared" si="0"/>
        <v>922.29885000000013</v>
      </c>
      <c r="J15" s="24">
        <v>0.2495</v>
      </c>
      <c r="K15" s="23">
        <f t="shared" si="1"/>
        <v>582.02647124999999</v>
      </c>
      <c r="L15" s="23">
        <f t="shared" si="2"/>
        <v>1152.4124130750001</v>
      </c>
      <c r="M15" s="25">
        <f t="shared" si="3"/>
        <v>2.4526192551795212E-3</v>
      </c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</row>
    <row r="16" spans="1:64" ht="49.5" customHeight="1" x14ac:dyDescent="0.2">
      <c r="A16" s="17" t="s">
        <v>27</v>
      </c>
      <c r="B16" s="18" t="s">
        <v>17</v>
      </c>
      <c r="C16" s="19" t="s">
        <v>28</v>
      </c>
      <c r="D16" s="20" t="s">
        <v>29</v>
      </c>
      <c r="E16" s="18" t="s">
        <v>20</v>
      </c>
      <c r="F16" s="21">
        <f>2.5*3</f>
        <v>7.5</v>
      </c>
      <c r="G16" s="22" t="s">
        <v>30</v>
      </c>
      <c r="H16" s="162">
        <v>943.86</v>
      </c>
      <c r="I16" s="23">
        <f t="shared" si="0"/>
        <v>7078.95</v>
      </c>
      <c r="J16" s="24">
        <v>0.2495</v>
      </c>
      <c r="K16" s="23">
        <f t="shared" si="1"/>
        <v>1179.3530700000001</v>
      </c>
      <c r="L16" s="23">
        <f t="shared" si="2"/>
        <v>8845.1480250000004</v>
      </c>
      <c r="M16" s="25">
        <f t="shared" si="3"/>
        <v>1.8824667380267328E-2</v>
      </c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</row>
    <row r="17" spans="1:64" ht="38.25" x14ac:dyDescent="0.2">
      <c r="A17" s="17" t="s">
        <v>31</v>
      </c>
      <c r="B17" s="27" t="s">
        <v>23</v>
      </c>
      <c r="C17" s="28" t="s">
        <v>32</v>
      </c>
      <c r="D17" s="29" t="s">
        <v>33</v>
      </c>
      <c r="E17" s="27" t="s">
        <v>34</v>
      </c>
      <c r="F17" s="30">
        <f>( (94.35+193.08)*0.5)</f>
        <v>143.715</v>
      </c>
      <c r="G17" s="31" t="s">
        <v>35</v>
      </c>
      <c r="H17" s="163">
        <f>'COMPOSIÇÃO PRÓPRIA '!J34</f>
        <v>1.9352200000000002</v>
      </c>
      <c r="I17" s="32">
        <f t="shared" si="0"/>
        <v>278.12014230000005</v>
      </c>
      <c r="J17" s="24">
        <v>0.2495</v>
      </c>
      <c r="K17" s="32">
        <f t="shared" si="1"/>
        <v>2.4180573900000004</v>
      </c>
      <c r="L17" s="32">
        <f t="shared" si="2"/>
        <v>347.51111780385008</v>
      </c>
      <c r="M17" s="25">
        <f t="shared" si="3"/>
        <v>7.3958979376180349E-4</v>
      </c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</row>
    <row r="18" spans="1:64" ht="38.25" x14ac:dyDescent="0.2">
      <c r="A18" s="17" t="s">
        <v>36</v>
      </c>
      <c r="B18" s="27" t="s">
        <v>17</v>
      </c>
      <c r="C18" s="28" t="s">
        <v>37</v>
      </c>
      <c r="D18" s="29" t="s">
        <v>38</v>
      </c>
      <c r="E18" s="27" t="s">
        <v>39</v>
      </c>
      <c r="F18" s="30">
        <f>F14*1</f>
        <v>220.48500000000001</v>
      </c>
      <c r="G18" s="31" t="s">
        <v>40</v>
      </c>
      <c r="H18" s="163">
        <v>5.05</v>
      </c>
      <c r="I18" s="32">
        <f t="shared" si="0"/>
        <v>1113.4492500000001</v>
      </c>
      <c r="J18" s="24">
        <v>0.2495</v>
      </c>
      <c r="K18" s="32">
        <f t="shared" si="1"/>
        <v>6.3099749999999997</v>
      </c>
      <c r="L18" s="32">
        <f t="shared" si="2"/>
        <v>1391.254837875</v>
      </c>
      <c r="M18" s="25">
        <f t="shared" si="3"/>
        <v>2.9609351353036993E-3</v>
      </c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</row>
    <row r="19" spans="1:64" ht="51" x14ac:dyDescent="0.2">
      <c r="A19" s="17" t="s">
        <v>41</v>
      </c>
      <c r="B19" s="27" t="s">
        <v>17</v>
      </c>
      <c r="C19" s="28" t="s">
        <v>42</v>
      </c>
      <c r="D19" s="29" t="s">
        <v>43</v>
      </c>
      <c r="E19" s="27" t="s">
        <v>39</v>
      </c>
      <c r="F19" s="30">
        <f>F18*1.1</f>
        <v>242.53350000000003</v>
      </c>
      <c r="G19" s="31" t="s">
        <v>44</v>
      </c>
      <c r="H19" s="163">
        <v>9.16</v>
      </c>
      <c r="I19" s="32">
        <f t="shared" si="0"/>
        <v>2221.6068600000003</v>
      </c>
      <c r="J19" s="24">
        <v>0.2495</v>
      </c>
      <c r="K19" s="32">
        <f t="shared" si="1"/>
        <v>11.44542</v>
      </c>
      <c r="L19" s="32">
        <f t="shared" si="2"/>
        <v>2775.8977715700003</v>
      </c>
      <c r="M19" s="25">
        <f t="shared" si="3"/>
        <v>5.9077984996673419E-3</v>
      </c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</row>
    <row r="20" spans="1:64" ht="72" customHeight="1" x14ac:dyDescent="0.2">
      <c r="A20" s="17" t="s">
        <v>45</v>
      </c>
      <c r="B20" s="27" t="s">
        <v>17</v>
      </c>
      <c r="C20" s="28" t="s">
        <v>46</v>
      </c>
      <c r="D20" s="29" t="s">
        <v>47</v>
      </c>
      <c r="E20" s="27" t="s">
        <v>20</v>
      </c>
      <c r="F20" s="30">
        <f>(2.86*1.5)+(8*1.5)+(2.91*1.68)+(8*1.5)+(2.99*1.68)+(16*1.5)+(2.93*1.68)+(16*1.5)+(3.14*1.64)+(16*1.5)+(2.96*1.68)+(16*1.5)+(1.5*1.7)</f>
        <v>151.79680000000002</v>
      </c>
      <c r="G20" s="31" t="s">
        <v>48</v>
      </c>
      <c r="H20" s="163">
        <v>12.28</v>
      </c>
      <c r="I20" s="32">
        <f t="shared" si="0"/>
        <v>1864.0647040000001</v>
      </c>
      <c r="J20" s="24">
        <v>0.2495</v>
      </c>
      <c r="K20" s="32">
        <f t="shared" si="1"/>
        <v>15.343859999999999</v>
      </c>
      <c r="L20" s="32">
        <f t="shared" si="2"/>
        <v>2329.1488476480004</v>
      </c>
      <c r="M20" s="25">
        <f t="shared" si="3"/>
        <v>4.9570060571266185E-3</v>
      </c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</row>
    <row r="21" spans="1:64" ht="47.25" customHeight="1" x14ac:dyDescent="0.2">
      <c r="A21" s="17" t="s">
        <v>49</v>
      </c>
      <c r="B21" s="27" t="s">
        <v>17</v>
      </c>
      <c r="C21" s="28" t="s">
        <v>50</v>
      </c>
      <c r="D21" s="29" t="s">
        <v>51</v>
      </c>
      <c r="E21" s="27" t="s">
        <v>52</v>
      </c>
      <c r="F21" s="30">
        <f>(220.49*3)</f>
        <v>661.47</v>
      </c>
      <c r="G21" s="31" t="s">
        <v>53</v>
      </c>
      <c r="H21" s="163">
        <v>2.88</v>
      </c>
      <c r="I21" s="32">
        <f t="shared" si="0"/>
        <v>1905.0336</v>
      </c>
      <c r="J21" s="24">
        <v>0.2495</v>
      </c>
      <c r="K21" s="32">
        <f t="shared" si="1"/>
        <v>3.59856</v>
      </c>
      <c r="L21" s="32">
        <f t="shared" si="2"/>
        <v>2380.3394831999999</v>
      </c>
      <c r="M21" s="25">
        <f t="shared" si="3"/>
        <v>5.065952417835023E-3</v>
      </c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</row>
    <row r="22" spans="1:64" ht="38.25" x14ac:dyDescent="0.2">
      <c r="A22" s="17" t="s">
        <v>54</v>
      </c>
      <c r="B22" s="27" t="s">
        <v>17</v>
      </c>
      <c r="C22" s="28" t="s">
        <v>55</v>
      </c>
      <c r="D22" s="29" t="s">
        <v>56</v>
      </c>
      <c r="E22" s="27" t="s">
        <v>20</v>
      </c>
      <c r="F22" s="30">
        <f>F14</f>
        <v>220.48500000000001</v>
      </c>
      <c r="G22" s="31" t="s">
        <v>57</v>
      </c>
      <c r="H22" s="163">
        <v>24.89</v>
      </c>
      <c r="I22" s="32">
        <f t="shared" si="0"/>
        <v>5487.87165</v>
      </c>
      <c r="J22" s="24">
        <v>0.2495</v>
      </c>
      <c r="K22" s="32">
        <f t="shared" si="1"/>
        <v>31.100055000000001</v>
      </c>
      <c r="L22" s="32">
        <f t="shared" si="2"/>
        <v>6857.0956266750009</v>
      </c>
      <c r="M22" s="25">
        <f t="shared" si="3"/>
        <v>1.459359911241764E-2</v>
      </c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</row>
    <row r="23" spans="1:64" ht="38.25" x14ac:dyDescent="0.2">
      <c r="A23" s="17" t="s">
        <v>58</v>
      </c>
      <c r="B23" s="27" t="s">
        <v>17</v>
      </c>
      <c r="C23" s="28" t="s">
        <v>59</v>
      </c>
      <c r="D23" s="29" t="s">
        <v>60</v>
      </c>
      <c r="E23" s="27" t="s">
        <v>52</v>
      </c>
      <c r="F23" s="30">
        <f>((32.96+24.37)*30)</f>
        <v>1719.8999999999999</v>
      </c>
      <c r="G23" s="31" t="s">
        <v>61</v>
      </c>
      <c r="H23" s="163">
        <v>3.16</v>
      </c>
      <c r="I23" s="32">
        <f t="shared" si="0"/>
        <v>5434.884</v>
      </c>
      <c r="J23" s="24">
        <v>0.2495</v>
      </c>
      <c r="K23" s="32">
        <f t="shared" si="1"/>
        <v>3.94842</v>
      </c>
      <c r="L23" s="32">
        <f t="shared" si="2"/>
        <v>6790.8875579999994</v>
      </c>
      <c r="M23" s="25">
        <f t="shared" si="3"/>
        <v>1.4452691931760615E-2</v>
      </c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</row>
    <row r="24" spans="1:64" s="43" customFormat="1" ht="25.5" x14ac:dyDescent="0.2">
      <c r="A24" s="33" t="s">
        <v>62</v>
      </c>
      <c r="B24" s="34" t="s">
        <v>23</v>
      </c>
      <c r="C24" s="187" t="s">
        <v>63</v>
      </c>
      <c r="D24" s="35" t="s">
        <v>64</v>
      </c>
      <c r="E24" s="36" t="s">
        <v>65</v>
      </c>
      <c r="F24" s="37">
        <f>18+14</f>
        <v>32</v>
      </c>
      <c r="G24" s="38" t="s">
        <v>66</v>
      </c>
      <c r="H24" s="164">
        <f>'COMPOSIÇÃO PRÓPRIA '!J45</f>
        <v>408.37200000000001</v>
      </c>
      <c r="I24" s="39">
        <f t="shared" si="0"/>
        <v>13067.904</v>
      </c>
      <c r="J24" s="40">
        <v>0.2495</v>
      </c>
      <c r="K24" s="39">
        <f t="shared" si="1"/>
        <v>510.26081399999998</v>
      </c>
      <c r="L24" s="39">
        <f t="shared" si="2"/>
        <v>16328.346047999999</v>
      </c>
      <c r="M24" s="41">
        <f t="shared" si="3"/>
        <v>3.4750767579551332E-2</v>
      </c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</row>
    <row r="25" spans="1:64" ht="38.25" x14ac:dyDescent="0.2">
      <c r="A25" s="17" t="s">
        <v>67</v>
      </c>
      <c r="B25" s="27" t="s">
        <v>17</v>
      </c>
      <c r="C25" s="28" t="s">
        <v>68</v>
      </c>
      <c r="D25" s="29" t="s">
        <v>69</v>
      </c>
      <c r="E25" s="27" t="s">
        <v>20</v>
      </c>
      <c r="F25" s="30">
        <f>F14</f>
        <v>220.48500000000001</v>
      </c>
      <c r="G25" s="31" t="s">
        <v>57</v>
      </c>
      <c r="H25" s="163">
        <v>1.69</v>
      </c>
      <c r="I25" s="32">
        <f t="shared" si="0"/>
        <v>372.61965000000004</v>
      </c>
      <c r="J25" s="24">
        <v>0.2495</v>
      </c>
      <c r="K25" s="32">
        <f t="shared" si="1"/>
        <v>2.1116549999999998</v>
      </c>
      <c r="L25" s="32">
        <f t="shared" si="2"/>
        <v>465.58825267499998</v>
      </c>
      <c r="M25" s="25">
        <f t="shared" si="3"/>
        <v>9.9088720369569332E-4</v>
      </c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spans="1:64" ht="14.25" x14ac:dyDescent="0.2">
      <c r="A26" s="255" t="s">
        <v>70</v>
      </c>
      <c r="B26" s="255"/>
      <c r="C26" s="255"/>
      <c r="D26" s="255"/>
      <c r="E26" s="255"/>
      <c r="F26" s="255"/>
      <c r="G26" s="255"/>
      <c r="H26" s="255"/>
      <c r="I26" s="44">
        <f>SUM(I14:I25)</f>
        <v>40339.907356300006</v>
      </c>
      <c r="J26" s="45"/>
      <c r="K26" s="44"/>
      <c r="L26" s="44">
        <f>SUM(L14:L25)</f>
        <v>50404.714241696849</v>
      </c>
      <c r="M26" s="45">
        <f>L26/M55</f>
        <v>0.10727372535943136</v>
      </c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64" x14ac:dyDescent="0.2">
      <c r="A27" s="16">
        <v>2</v>
      </c>
      <c r="B27" s="254" t="s">
        <v>71</v>
      </c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64" ht="14.25" x14ac:dyDescent="0.2">
      <c r="A28" s="17"/>
      <c r="B28" s="27"/>
      <c r="C28" s="28"/>
      <c r="D28" s="29" t="s">
        <v>72</v>
      </c>
      <c r="E28" s="27"/>
      <c r="F28" s="30"/>
      <c r="G28" s="31"/>
      <c r="H28" s="32"/>
      <c r="I28" s="32"/>
      <c r="J28" s="24"/>
      <c r="K28" s="32"/>
      <c r="L28" s="32"/>
      <c r="M28" s="25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64" ht="57.75" customHeight="1" x14ac:dyDescent="0.2">
      <c r="A29" s="17" t="s">
        <v>73</v>
      </c>
      <c r="B29" s="18" t="s">
        <v>17</v>
      </c>
      <c r="C29" s="28" t="s">
        <v>74</v>
      </c>
      <c r="D29" s="29" t="s">
        <v>75</v>
      </c>
      <c r="E29" s="27" t="s">
        <v>76</v>
      </c>
      <c r="F29" s="47">
        <f>(1192.8+54.1+1168.56+214.2+243.6+677.12+236.5+264.88+187.68+213.44+1374.56+300+440.64+246.84+280.72)*0.617*1.1</f>
        <v>4815.8108679999996</v>
      </c>
      <c r="G29" s="31" t="s">
        <v>77</v>
      </c>
      <c r="H29" s="163">
        <v>14.83</v>
      </c>
      <c r="I29" s="48">
        <f t="shared" ref="I29:I36" si="4">H29*F29</f>
        <v>71418.475172439998</v>
      </c>
      <c r="J29" s="24">
        <v>0.2495</v>
      </c>
      <c r="K29" s="48">
        <f t="shared" ref="K29:K36" si="5">H29+(H29*J29)</f>
        <v>18.530085</v>
      </c>
      <c r="L29" s="48">
        <f t="shared" ref="L29:L36" si="6">K29*F29</f>
        <v>89237.38472796377</v>
      </c>
      <c r="M29" s="25">
        <f t="shared" ref="M29:M36" si="7">L29/$M$55</f>
        <v>0.18991927332825675</v>
      </c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spans="1:64" ht="45.75" customHeight="1" x14ac:dyDescent="0.2">
      <c r="A30" s="17" t="s">
        <v>78</v>
      </c>
      <c r="B30" s="18" t="s">
        <v>17</v>
      </c>
      <c r="C30" s="28" t="s">
        <v>79</v>
      </c>
      <c r="D30" s="29" t="s">
        <v>80</v>
      </c>
      <c r="E30" s="27" t="s">
        <v>39</v>
      </c>
      <c r="F30" s="47">
        <f>((((5+6)*10.6)/2)+(((5+1)*12.04)/2)+(((1+6)*9.24)/2))*0.26</f>
        <v>32.957599999999999</v>
      </c>
      <c r="G30" s="31" t="s">
        <v>81</v>
      </c>
      <c r="H30" s="163">
        <v>686.68</v>
      </c>
      <c r="I30" s="48">
        <f t="shared" si="4"/>
        <v>22631.324767999999</v>
      </c>
      <c r="J30" s="24">
        <v>0.2495</v>
      </c>
      <c r="K30" s="48">
        <f t="shared" si="5"/>
        <v>858.0066599999999</v>
      </c>
      <c r="L30" s="48">
        <f t="shared" si="6"/>
        <v>28277.840297615996</v>
      </c>
      <c r="M30" s="25">
        <f t="shared" si="7"/>
        <v>6.0182253177717825E-2</v>
      </c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</row>
    <row r="31" spans="1:64" ht="38.25" x14ac:dyDescent="0.2">
      <c r="A31" s="17" t="s">
        <v>82</v>
      </c>
      <c r="B31" s="49" t="s">
        <v>17</v>
      </c>
      <c r="C31" s="28" t="s">
        <v>83</v>
      </c>
      <c r="D31" s="29" t="s">
        <v>84</v>
      </c>
      <c r="E31" s="27" t="s">
        <v>65</v>
      </c>
      <c r="F31" s="47">
        <v>18</v>
      </c>
      <c r="G31" s="31" t="s">
        <v>85</v>
      </c>
      <c r="H31" s="163">
        <v>30.5</v>
      </c>
      <c r="I31" s="48">
        <f t="shared" si="4"/>
        <v>549</v>
      </c>
      <c r="J31" s="24">
        <v>0.2495</v>
      </c>
      <c r="K31" s="48">
        <f t="shared" si="5"/>
        <v>38.109749999999998</v>
      </c>
      <c r="L31" s="48">
        <f t="shared" si="6"/>
        <v>685.97550000000001</v>
      </c>
      <c r="M31" s="25">
        <f t="shared" si="7"/>
        <v>1.4599258918012931E-3</v>
      </c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spans="1:64" ht="51" x14ac:dyDescent="0.2">
      <c r="A32" s="17" t="s">
        <v>86</v>
      </c>
      <c r="B32" s="49" t="s">
        <v>17</v>
      </c>
      <c r="C32" s="28" t="s">
        <v>87</v>
      </c>
      <c r="D32" s="29" t="s">
        <v>88</v>
      </c>
      <c r="E32" s="27" t="s">
        <v>89</v>
      </c>
      <c r="F32" s="47">
        <f>(10.75*18)</f>
        <v>193.5</v>
      </c>
      <c r="G32" s="31" t="s">
        <v>90</v>
      </c>
      <c r="H32" s="163">
        <v>199.32</v>
      </c>
      <c r="I32" s="48">
        <f t="shared" si="4"/>
        <v>38568.42</v>
      </c>
      <c r="J32" s="24">
        <v>0.2495</v>
      </c>
      <c r="K32" s="48">
        <f t="shared" si="5"/>
        <v>249.05034000000001</v>
      </c>
      <c r="L32" s="48">
        <f t="shared" si="6"/>
        <v>48191.240790000003</v>
      </c>
      <c r="M32" s="25">
        <f t="shared" si="7"/>
        <v>0.10256290521651518</v>
      </c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</row>
    <row r="33" spans="1:64" ht="38.25" x14ac:dyDescent="0.2">
      <c r="A33" s="17" t="s">
        <v>91</v>
      </c>
      <c r="B33" s="49" t="s">
        <v>17</v>
      </c>
      <c r="C33" s="28" t="s">
        <v>92</v>
      </c>
      <c r="D33" s="29" t="s">
        <v>93</v>
      </c>
      <c r="E33" s="27" t="s">
        <v>89</v>
      </c>
      <c r="F33" s="30">
        <f>6.14+4.2</f>
        <v>10.34</v>
      </c>
      <c r="G33" s="31" t="s">
        <v>94</v>
      </c>
      <c r="H33" s="163">
        <v>103.15</v>
      </c>
      <c r="I33" s="32">
        <f t="shared" si="4"/>
        <v>1066.5710000000001</v>
      </c>
      <c r="J33" s="24">
        <v>0.2495</v>
      </c>
      <c r="K33" s="32">
        <f t="shared" si="5"/>
        <v>128.88592500000001</v>
      </c>
      <c r="L33" s="32">
        <f t="shared" si="6"/>
        <v>1332.6804645000002</v>
      </c>
      <c r="M33" s="25">
        <f t="shared" si="7"/>
        <v>2.8362743503540931E-3</v>
      </c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</row>
    <row r="34" spans="1:64" ht="51" x14ac:dyDescent="0.2">
      <c r="A34" s="17" t="s">
        <v>95</v>
      </c>
      <c r="B34" s="27" t="s">
        <v>17</v>
      </c>
      <c r="C34" s="28" t="s">
        <v>96</v>
      </c>
      <c r="D34" s="29" t="s">
        <v>97</v>
      </c>
      <c r="E34" s="27" t="s">
        <v>20</v>
      </c>
      <c r="F34" s="30">
        <f>((((5+6)*10.6)/2)+(((5+1)*12.04)/2)+(((1+6)*9.24)/2))</f>
        <v>126.75999999999999</v>
      </c>
      <c r="G34" s="31" t="s">
        <v>98</v>
      </c>
      <c r="H34" s="163">
        <v>35.770000000000003</v>
      </c>
      <c r="I34" s="32">
        <f t="shared" si="4"/>
        <v>4534.2052000000003</v>
      </c>
      <c r="J34" s="24">
        <v>0.2495</v>
      </c>
      <c r="K34" s="32">
        <f t="shared" si="5"/>
        <v>44.694615000000006</v>
      </c>
      <c r="L34" s="32">
        <f t="shared" si="6"/>
        <v>5665.4893974000006</v>
      </c>
      <c r="M34" s="25">
        <f t="shared" si="7"/>
        <v>1.2057565701675885E-2</v>
      </c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64" ht="69" customHeight="1" x14ac:dyDescent="0.2">
      <c r="A35" s="17" t="s">
        <v>99</v>
      </c>
      <c r="B35" s="27" t="s">
        <v>17</v>
      </c>
      <c r="C35" s="28" t="s">
        <v>100</v>
      </c>
      <c r="D35" s="29" t="s">
        <v>101</v>
      </c>
      <c r="E35" s="27" t="s">
        <v>76</v>
      </c>
      <c r="F35" s="30">
        <f>(96.84+84.84+188.16+38.9+92.88+24+65.8+9.27+151.8+141.12+24+6.94)*1.578*1.1</f>
        <v>1604.8338900000001</v>
      </c>
      <c r="G35" s="31" t="s">
        <v>102</v>
      </c>
      <c r="H35" s="163">
        <v>12.09</v>
      </c>
      <c r="I35" s="32">
        <f t="shared" si="4"/>
        <v>19402.441730099999</v>
      </c>
      <c r="J35" s="24">
        <v>0.2495</v>
      </c>
      <c r="K35" s="32">
        <f t="shared" si="5"/>
        <v>15.106455</v>
      </c>
      <c r="L35" s="32">
        <f t="shared" si="6"/>
        <v>24243.350941759953</v>
      </c>
      <c r="M35" s="25">
        <f t="shared" si="7"/>
        <v>5.1595859828668246E-2</v>
      </c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</row>
    <row r="36" spans="1:64" ht="38.25" x14ac:dyDescent="0.2">
      <c r="A36" s="17" t="s">
        <v>103</v>
      </c>
      <c r="B36" s="27" t="s">
        <v>17</v>
      </c>
      <c r="C36" s="28" t="s">
        <v>104</v>
      </c>
      <c r="D36" s="29" t="s">
        <v>105</v>
      </c>
      <c r="E36" s="27" t="s">
        <v>20</v>
      </c>
      <c r="F36" s="30">
        <f>(2*3.14*0.01*7805.2)+(2*3.14*0.016*1017.01)</f>
        <v>592.35572480000008</v>
      </c>
      <c r="G36" s="31" t="s">
        <v>106</v>
      </c>
      <c r="H36" s="163">
        <v>22.73</v>
      </c>
      <c r="I36" s="32">
        <f t="shared" si="4"/>
        <v>13464.245624704003</v>
      </c>
      <c r="J36" s="24">
        <v>0.2495</v>
      </c>
      <c r="K36" s="32">
        <f t="shared" si="5"/>
        <v>28.401135</v>
      </c>
      <c r="L36" s="32">
        <f t="shared" si="6"/>
        <v>16823.574908067651</v>
      </c>
      <c r="M36" s="25">
        <f t="shared" si="7"/>
        <v>3.5804737342582237E-2</v>
      </c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</row>
    <row r="37" spans="1:64" ht="14.25" x14ac:dyDescent="0.2">
      <c r="A37" s="17"/>
      <c r="B37" s="27"/>
      <c r="C37" s="28"/>
      <c r="D37" s="29" t="s">
        <v>107</v>
      </c>
      <c r="E37" s="27"/>
      <c r="F37" s="30"/>
      <c r="G37" s="31"/>
      <c r="H37" s="32"/>
      <c r="I37" s="32"/>
      <c r="J37" s="24"/>
      <c r="K37" s="32"/>
      <c r="L37" s="32"/>
      <c r="M37" s="25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64" ht="56.25" customHeight="1" x14ac:dyDescent="0.2">
      <c r="A38" s="17" t="s">
        <v>103</v>
      </c>
      <c r="B38" s="27" t="s">
        <v>17</v>
      </c>
      <c r="C38" s="28" t="s">
        <v>74</v>
      </c>
      <c r="D38" s="29" t="s">
        <v>75</v>
      </c>
      <c r="E38" s="27" t="s">
        <v>76</v>
      </c>
      <c r="F38" s="30">
        <f>(1101.92+1075.68+54.1+197.88+225.04+771.48+300+198.52+138.72+157.76+390.08+236.5+156.52+108.12+122.96)*0.617*1.1</f>
        <v>3553.1845360000007</v>
      </c>
      <c r="G38" s="31" t="s">
        <v>108</v>
      </c>
      <c r="H38" s="163">
        <v>14.83</v>
      </c>
      <c r="I38" s="32">
        <f t="shared" ref="I38:I45" si="8">H38*F38</f>
        <v>52693.726668880008</v>
      </c>
      <c r="J38" s="24">
        <v>0.2495</v>
      </c>
      <c r="K38" s="32">
        <f t="shared" ref="K38:K45" si="9">H38+(H38*J38)</f>
        <v>18.530085</v>
      </c>
      <c r="L38" s="32">
        <f t="shared" ref="L38:L45" si="10">K38*F38</f>
        <v>65840.811472765577</v>
      </c>
      <c r="M38" s="25">
        <f t="shared" ref="M38:M45" si="11">L38/$M$55</f>
        <v>0.14012556630127182</v>
      </c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</row>
    <row r="39" spans="1:64" ht="56.25" customHeight="1" x14ac:dyDescent="0.2">
      <c r="A39" s="17" t="s">
        <v>109</v>
      </c>
      <c r="B39" s="27" t="s">
        <v>17</v>
      </c>
      <c r="C39" s="28" t="s">
        <v>100</v>
      </c>
      <c r="D39" s="29" t="s">
        <v>101</v>
      </c>
      <c r="E39" s="27" t="s">
        <v>76</v>
      </c>
      <c r="F39" s="30">
        <f>(84.84+188.16+89.1+26.96+141.12+6.89+49.21+83.16+69.84)*1.578*1.1</f>
        <v>1283.2422240000003</v>
      </c>
      <c r="G39" s="31" t="s">
        <v>110</v>
      </c>
      <c r="H39" s="163">
        <v>12.09</v>
      </c>
      <c r="I39" s="32">
        <f t="shared" si="8"/>
        <v>15514.398488160003</v>
      </c>
      <c r="J39" s="24">
        <v>0.2495</v>
      </c>
      <c r="K39" s="32">
        <f t="shared" si="9"/>
        <v>15.106455</v>
      </c>
      <c r="L39" s="32">
        <f t="shared" si="10"/>
        <v>19385.240910955927</v>
      </c>
      <c r="M39" s="25">
        <f t="shared" si="11"/>
        <v>4.1256597538410981E-2</v>
      </c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</row>
    <row r="40" spans="1:64" ht="50.25" customHeight="1" x14ac:dyDescent="0.2">
      <c r="A40" s="17" t="s">
        <v>111</v>
      </c>
      <c r="B40" s="27" t="s">
        <v>17</v>
      </c>
      <c r="C40" s="28" t="s">
        <v>79</v>
      </c>
      <c r="D40" s="29" t="s">
        <v>80</v>
      </c>
      <c r="E40" s="27" t="s">
        <v>39</v>
      </c>
      <c r="F40" s="30">
        <f>((((5+6)*9.74)/2)+(((5+1)*5.37)/2)+(((1+6)*6.87)/2))*0.26</f>
        <v>24.368500000000004</v>
      </c>
      <c r="G40" s="31" t="s">
        <v>112</v>
      </c>
      <c r="H40" s="163">
        <v>686.68</v>
      </c>
      <c r="I40" s="32">
        <f t="shared" si="8"/>
        <v>16733.361580000001</v>
      </c>
      <c r="J40" s="24">
        <v>0.2495</v>
      </c>
      <c r="K40" s="32">
        <f t="shared" si="9"/>
        <v>858.0066599999999</v>
      </c>
      <c r="L40" s="32">
        <f t="shared" si="10"/>
        <v>20908.335294210003</v>
      </c>
      <c r="M40" s="25">
        <f t="shared" si="11"/>
        <v>4.4498119904398899E-2</v>
      </c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</row>
    <row r="41" spans="1:64" ht="38.25" x14ac:dyDescent="0.2">
      <c r="A41" s="17" t="s">
        <v>113</v>
      </c>
      <c r="B41" s="27" t="s">
        <v>17</v>
      </c>
      <c r="C41" s="28" t="s">
        <v>83</v>
      </c>
      <c r="D41" s="29" t="s">
        <v>84</v>
      </c>
      <c r="E41" s="27" t="s">
        <v>65</v>
      </c>
      <c r="F41" s="30">
        <v>14</v>
      </c>
      <c r="G41" s="31" t="s">
        <v>114</v>
      </c>
      <c r="H41" s="163">
        <v>30.5</v>
      </c>
      <c r="I41" s="32">
        <f t="shared" si="8"/>
        <v>427</v>
      </c>
      <c r="J41" s="24">
        <v>0.2495</v>
      </c>
      <c r="K41" s="32">
        <f t="shared" si="9"/>
        <v>38.109749999999998</v>
      </c>
      <c r="L41" s="32">
        <f t="shared" si="10"/>
        <v>533.53649999999993</v>
      </c>
      <c r="M41" s="25">
        <f t="shared" si="11"/>
        <v>1.1354979158454499E-3</v>
      </c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</row>
    <row r="42" spans="1:64" ht="51" x14ac:dyDescent="0.2">
      <c r="A42" s="17" t="s">
        <v>115</v>
      </c>
      <c r="B42" s="27" t="s">
        <v>17</v>
      </c>
      <c r="C42" s="28" t="s">
        <v>87</v>
      </c>
      <c r="D42" s="29" t="s">
        <v>88</v>
      </c>
      <c r="E42" s="27" t="s">
        <v>89</v>
      </c>
      <c r="F42" s="30">
        <f>10.75*14</f>
        <v>150.5</v>
      </c>
      <c r="G42" s="31" t="s">
        <v>116</v>
      </c>
      <c r="H42" s="163">
        <v>199.32</v>
      </c>
      <c r="I42" s="32">
        <f t="shared" si="8"/>
        <v>29997.66</v>
      </c>
      <c r="J42" s="24">
        <v>0.2495</v>
      </c>
      <c r="K42" s="32">
        <f t="shared" si="9"/>
        <v>249.05034000000001</v>
      </c>
      <c r="L42" s="32">
        <f t="shared" si="10"/>
        <v>37482.07617</v>
      </c>
      <c r="M42" s="25">
        <f t="shared" si="11"/>
        <v>7.9771148501734016E-2</v>
      </c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</row>
    <row r="43" spans="1:64" ht="38.25" x14ac:dyDescent="0.2">
      <c r="A43" s="17" t="s">
        <v>117</v>
      </c>
      <c r="B43" s="27" t="s">
        <v>17</v>
      </c>
      <c r="C43" s="28" t="s">
        <v>92</v>
      </c>
      <c r="D43" s="29" t="s">
        <v>93</v>
      </c>
      <c r="E43" s="27" t="s">
        <v>89</v>
      </c>
      <c r="F43" s="30">
        <f>(5.28+6.13)</f>
        <v>11.41</v>
      </c>
      <c r="G43" s="31" t="s">
        <v>118</v>
      </c>
      <c r="H43" s="163">
        <v>103.15</v>
      </c>
      <c r="I43" s="32">
        <f t="shared" si="8"/>
        <v>1176.9415000000001</v>
      </c>
      <c r="J43" s="24">
        <v>0.2495</v>
      </c>
      <c r="K43" s="32">
        <f t="shared" si="9"/>
        <v>128.88592500000001</v>
      </c>
      <c r="L43" s="32">
        <f t="shared" si="10"/>
        <v>1470.5884042500002</v>
      </c>
      <c r="M43" s="25">
        <f t="shared" si="11"/>
        <v>3.129776628388801E-3</v>
      </c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spans="1:64" ht="51" x14ac:dyDescent="0.2">
      <c r="A44" s="17" t="s">
        <v>119</v>
      </c>
      <c r="B44" s="27" t="s">
        <v>17</v>
      </c>
      <c r="C44" s="28" t="s">
        <v>96</v>
      </c>
      <c r="D44" s="29" t="s">
        <v>120</v>
      </c>
      <c r="E44" s="27" t="s">
        <v>20</v>
      </c>
      <c r="F44" s="30">
        <f>((((5+6)*9.74)/2)+(((5+1)*5.37)/2)+(((1+6)*6.87)/2))</f>
        <v>93.725000000000009</v>
      </c>
      <c r="G44" s="31" t="s">
        <v>121</v>
      </c>
      <c r="H44" s="163">
        <v>35.770000000000003</v>
      </c>
      <c r="I44" s="32">
        <f t="shared" si="8"/>
        <v>3352.5432500000006</v>
      </c>
      <c r="J44" s="24">
        <v>0.2495</v>
      </c>
      <c r="K44" s="32">
        <f t="shared" si="9"/>
        <v>44.694615000000006</v>
      </c>
      <c r="L44" s="32">
        <f t="shared" si="10"/>
        <v>4189.0027908750008</v>
      </c>
      <c r="M44" s="25">
        <f t="shared" si="11"/>
        <v>8.9152362369010127E-3</v>
      </c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</row>
    <row r="45" spans="1:64" ht="38.25" x14ac:dyDescent="0.2">
      <c r="A45" s="17" t="s">
        <v>119</v>
      </c>
      <c r="B45" s="27" t="s">
        <v>17</v>
      </c>
      <c r="C45" s="28" t="s">
        <v>104</v>
      </c>
      <c r="D45" s="29" t="s">
        <v>105</v>
      </c>
      <c r="E45" s="27" t="s">
        <v>20</v>
      </c>
      <c r="F45" s="30">
        <f>(2*3.14*0.01*5758.81)+(2*3.14*0.016*813.21)</f>
        <v>443.3646088000001</v>
      </c>
      <c r="G45" s="31" t="s">
        <v>122</v>
      </c>
      <c r="H45" s="163">
        <v>22.73</v>
      </c>
      <c r="I45" s="32">
        <f t="shared" si="8"/>
        <v>10077.677558024003</v>
      </c>
      <c r="J45" s="24">
        <v>0.2495</v>
      </c>
      <c r="K45" s="32">
        <f t="shared" si="9"/>
        <v>28.401135</v>
      </c>
      <c r="L45" s="32">
        <f t="shared" si="10"/>
        <v>12592.058108750991</v>
      </c>
      <c r="M45" s="25">
        <f t="shared" si="11"/>
        <v>2.6799020758076626E-2</v>
      </c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</row>
    <row r="46" spans="1:64" ht="14.25" x14ac:dyDescent="0.2">
      <c r="A46" s="255" t="s">
        <v>70</v>
      </c>
      <c r="B46" s="255"/>
      <c r="C46" s="255"/>
      <c r="D46" s="255"/>
      <c r="E46" s="255"/>
      <c r="F46" s="255"/>
      <c r="G46" s="255"/>
      <c r="H46" s="255"/>
      <c r="I46" s="44">
        <f>SUM(I28:I45)</f>
        <v>301607.99254030793</v>
      </c>
      <c r="J46" s="45"/>
      <c r="K46" s="44"/>
      <c r="L46" s="44">
        <f>SUM(L28:L45)</f>
        <v>376859.18667911482</v>
      </c>
      <c r="M46" s="45">
        <f>L46/M55</f>
        <v>0.80204975862259897</v>
      </c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</row>
    <row r="47" spans="1:64" x14ac:dyDescent="0.2">
      <c r="A47" s="16">
        <v>3</v>
      </c>
      <c r="B47" s="254" t="s">
        <v>123</v>
      </c>
      <c r="C47" s="254"/>
      <c r="D47" s="254"/>
      <c r="E47" s="254"/>
      <c r="F47" s="254"/>
      <c r="G47" s="254"/>
      <c r="H47" s="254"/>
      <c r="I47" s="254"/>
      <c r="J47" s="254"/>
      <c r="K47" s="254"/>
      <c r="L47" s="254"/>
      <c r="M47" s="254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</row>
    <row r="48" spans="1:64" ht="39.75" customHeight="1" x14ac:dyDescent="0.2">
      <c r="A48" s="17" t="s">
        <v>124</v>
      </c>
      <c r="B48" s="27" t="s">
        <v>23</v>
      </c>
      <c r="C48" s="28" t="s">
        <v>125</v>
      </c>
      <c r="D48" s="29" t="s">
        <v>126</v>
      </c>
      <c r="E48" s="27" t="s">
        <v>89</v>
      </c>
      <c r="F48" s="30">
        <f>10.31*18</f>
        <v>185.58</v>
      </c>
      <c r="G48" s="31" t="s">
        <v>127</v>
      </c>
      <c r="H48" s="163">
        <f>'COMPOSIÇÃO PRÓPRIA '!J58</f>
        <v>159.86828599999998</v>
      </c>
      <c r="I48" s="32">
        <f>H48*F48</f>
        <v>29668.356515879997</v>
      </c>
      <c r="J48" s="24">
        <v>0.2495</v>
      </c>
      <c r="K48" s="32">
        <f>H48+(H48*J48)</f>
        <v>199.75542335699998</v>
      </c>
      <c r="L48" s="32">
        <f>K48*F48</f>
        <v>37070.611466592061</v>
      </c>
      <c r="M48" s="50">
        <f>L48/$M$55</f>
        <v>7.8895449626092559E-2</v>
      </c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</row>
    <row r="49" spans="1:64" ht="33" customHeight="1" x14ac:dyDescent="0.2">
      <c r="A49" s="17" t="s">
        <v>128</v>
      </c>
      <c r="B49" s="27" t="s">
        <v>23</v>
      </c>
      <c r="C49" s="28" t="s">
        <v>129</v>
      </c>
      <c r="D49" s="29" t="s">
        <v>130</v>
      </c>
      <c r="E49" s="27" t="s">
        <v>89</v>
      </c>
      <c r="F49" s="30">
        <f>1.06*18</f>
        <v>19.080000000000002</v>
      </c>
      <c r="G49" s="31" t="s">
        <v>131</v>
      </c>
      <c r="H49" s="163">
        <f>'COMPOSIÇÃO PRÓPRIA '!J69</f>
        <v>57.247992999999994</v>
      </c>
      <c r="I49" s="32">
        <f>H49*F49</f>
        <v>1092.2917064400001</v>
      </c>
      <c r="J49" s="24">
        <v>0.2495</v>
      </c>
      <c r="K49" s="32">
        <f>H49+(H49*J49)</f>
        <v>71.531367253499994</v>
      </c>
      <c r="L49" s="32">
        <f>K49*F49</f>
        <v>1364.8184871967801</v>
      </c>
      <c r="M49" s="50">
        <f>L49/$M$55</f>
        <v>2.904672028472811E-3</v>
      </c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</row>
    <row r="50" spans="1:64" ht="25.5" x14ac:dyDescent="0.2">
      <c r="A50" s="17" t="s">
        <v>132</v>
      </c>
      <c r="B50" s="27" t="s">
        <v>17</v>
      </c>
      <c r="C50" s="28" t="s">
        <v>133</v>
      </c>
      <c r="D50" s="29" t="s">
        <v>134</v>
      </c>
      <c r="E50" s="27" t="s">
        <v>89</v>
      </c>
      <c r="F50" s="30">
        <f>(11.67+10.01+9.06+5.11+9.08+6.5)</f>
        <v>51.43</v>
      </c>
      <c r="G50" s="31" t="s">
        <v>135</v>
      </c>
      <c r="H50" s="163">
        <v>43.83</v>
      </c>
      <c r="I50" s="32">
        <f>H50*F50</f>
        <v>2254.1768999999999</v>
      </c>
      <c r="J50" s="24">
        <v>0.2495</v>
      </c>
      <c r="K50" s="32">
        <f>H50+(H50*J50)</f>
        <v>54.765585000000002</v>
      </c>
      <c r="L50" s="32">
        <f>K50*F50</f>
        <v>2816.5940365500001</v>
      </c>
      <c r="M50" s="50">
        <f>L50/$M$55</f>
        <v>5.9944102386345613E-3</v>
      </c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</row>
    <row r="51" spans="1:64" ht="51" x14ac:dyDescent="0.2">
      <c r="A51" s="17" t="s">
        <v>136</v>
      </c>
      <c r="B51" s="27" t="s">
        <v>17</v>
      </c>
      <c r="C51" s="28" t="s">
        <v>137</v>
      </c>
      <c r="D51" s="29" t="s">
        <v>138</v>
      </c>
      <c r="E51" s="27" t="s">
        <v>139</v>
      </c>
      <c r="F51" s="30">
        <v>4</v>
      </c>
      <c r="G51" s="31" t="s">
        <v>140</v>
      </c>
      <c r="H51" s="163">
        <v>270.94</v>
      </c>
      <c r="I51" s="32">
        <f>H51*F51</f>
        <v>1083.76</v>
      </c>
      <c r="J51" s="24">
        <v>0.2495</v>
      </c>
      <c r="K51" s="32">
        <f>H51+(H51*J51)</f>
        <v>338.53953000000001</v>
      </c>
      <c r="L51" s="32">
        <f>K51*F51</f>
        <v>1354.1581200000001</v>
      </c>
      <c r="M51" s="50">
        <f>L51/$M$55</f>
        <v>2.8819841247697073E-3</v>
      </c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</row>
    <row r="52" spans="1:64" ht="14.25" x14ac:dyDescent="0.2">
      <c r="A52" s="255" t="s">
        <v>70</v>
      </c>
      <c r="B52" s="255"/>
      <c r="C52" s="255"/>
      <c r="D52" s="255"/>
      <c r="E52" s="255"/>
      <c r="F52" s="255"/>
      <c r="G52" s="255"/>
      <c r="H52" s="255"/>
      <c r="I52" s="44">
        <f>SUM(I48:I51)</f>
        <v>34098.585122320001</v>
      </c>
      <c r="J52" s="45"/>
      <c r="K52" s="44"/>
      <c r="L52" s="44">
        <f>SUM(L48:L51)</f>
        <v>42606.182110338843</v>
      </c>
      <c r="M52" s="45">
        <f>L52/$M$55</f>
        <v>9.0676516017969638E-2</v>
      </c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</row>
    <row r="53" spans="1:64" ht="18.75" x14ac:dyDescent="0.2">
      <c r="A53" s="256" t="s">
        <v>141</v>
      </c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51">
        <f>I52+I46+I26</f>
        <v>376046.48501892789</v>
      </c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</row>
    <row r="54" spans="1:64" ht="18.75" x14ac:dyDescent="0.2">
      <c r="A54" s="257" t="s">
        <v>142</v>
      </c>
      <c r="B54" s="257"/>
      <c r="C54" s="257"/>
      <c r="D54" s="257"/>
      <c r="E54" s="257"/>
      <c r="F54" s="257"/>
      <c r="G54" s="257"/>
      <c r="H54" s="257"/>
      <c r="I54" s="257"/>
      <c r="J54" s="257"/>
      <c r="K54" s="257"/>
      <c r="L54" s="257"/>
      <c r="M54" s="52">
        <f>(L52+L46+L26)-(I52+I46+I26)</f>
        <v>93823.598012222617</v>
      </c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</row>
    <row r="55" spans="1:64" ht="17.45" customHeight="1" x14ac:dyDescent="0.2">
      <c r="A55" s="258" t="s">
        <v>143</v>
      </c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53">
        <f>M53+M54</f>
        <v>469870.08303115051</v>
      </c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</row>
    <row r="56" spans="1:64" ht="112.5" customHeight="1" x14ac:dyDescent="0.2">
      <c r="A56" s="259" t="s">
        <v>144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</row>
    <row r="57" spans="1:64" x14ac:dyDescent="0.2">
      <c r="A57" s="260"/>
      <c r="B57" s="260"/>
      <c r="C57" s="260"/>
      <c r="D57" s="260"/>
      <c r="E57" s="260"/>
      <c r="F57" s="260"/>
      <c r="G57" s="260"/>
      <c r="H57" s="260"/>
      <c r="I57" s="260"/>
      <c r="J57" s="260"/>
      <c r="K57" s="260"/>
      <c r="L57" s="260"/>
      <c r="M57" s="260"/>
    </row>
  </sheetData>
  <mergeCells count="15">
    <mergeCell ref="A53:L53"/>
    <mergeCell ref="A54:L54"/>
    <mergeCell ref="A55:L55"/>
    <mergeCell ref="A56:M56"/>
    <mergeCell ref="A57:M57"/>
    <mergeCell ref="A26:H26"/>
    <mergeCell ref="B27:M27"/>
    <mergeCell ref="A46:H46"/>
    <mergeCell ref="B47:M47"/>
    <mergeCell ref="A52:H52"/>
    <mergeCell ref="A1:C4"/>
    <mergeCell ref="D1:M4"/>
    <mergeCell ref="A5:M10"/>
    <mergeCell ref="A11:M11"/>
    <mergeCell ref="B13:M13"/>
  </mergeCells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N32"/>
  <sheetViews>
    <sheetView showGridLines="0" zoomScale="90" zoomScaleNormal="90" workbookViewId="0">
      <selection activeCell="F18" sqref="F18:I18"/>
    </sheetView>
  </sheetViews>
  <sheetFormatPr defaultColWidth="7.875" defaultRowHeight="14.25" x14ac:dyDescent="0.2"/>
  <cols>
    <col min="5" max="5" width="37.5" customWidth="1"/>
    <col min="6" max="6" width="9.625" customWidth="1"/>
    <col min="7" max="12" width="9.625" bestFit="1" customWidth="1"/>
    <col min="13" max="13" width="10.25" customWidth="1"/>
    <col min="14" max="14" width="14" customWidth="1"/>
    <col min="1013" max="1024" width="10.5" customWidth="1"/>
  </cols>
  <sheetData>
    <row r="3" spans="3:14" ht="34.9" customHeight="1" x14ac:dyDescent="0.2">
      <c r="C3" s="261"/>
      <c r="D3" s="262" t="s">
        <v>145</v>
      </c>
      <c r="E3" s="262"/>
      <c r="F3" s="262"/>
      <c r="G3" s="262"/>
      <c r="H3" s="262"/>
      <c r="I3" s="262"/>
      <c r="J3" s="262"/>
      <c r="K3" s="262"/>
      <c r="L3" s="262"/>
      <c r="M3" s="262"/>
      <c r="N3" s="262"/>
    </row>
    <row r="4" spans="3:14" x14ac:dyDescent="0.2">
      <c r="C4" s="261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</row>
    <row r="5" spans="3:14" ht="15.75" customHeight="1" x14ac:dyDescent="0.25">
      <c r="C5" s="54"/>
      <c r="D5" s="263"/>
      <c r="E5" s="263"/>
      <c r="F5" s="264" t="s">
        <v>146</v>
      </c>
      <c r="G5" s="264"/>
      <c r="H5" s="264"/>
      <c r="I5" s="264"/>
      <c r="J5" s="265" t="s">
        <v>147</v>
      </c>
      <c r="K5" s="265"/>
      <c r="L5" s="265"/>
      <c r="M5" s="265"/>
      <c r="N5" s="266" t="s">
        <v>148</v>
      </c>
    </row>
    <row r="6" spans="3:14" x14ac:dyDescent="0.2">
      <c r="C6" s="54"/>
      <c r="D6" s="263"/>
      <c r="E6" s="263"/>
      <c r="F6" s="55" t="s">
        <v>149</v>
      </c>
      <c r="G6" s="56" t="s">
        <v>150</v>
      </c>
      <c r="H6" s="56" t="s">
        <v>151</v>
      </c>
      <c r="I6" s="57" t="s">
        <v>152</v>
      </c>
      <c r="J6" s="58" t="s">
        <v>149</v>
      </c>
      <c r="K6" s="56" t="s">
        <v>150</v>
      </c>
      <c r="L6" s="56" t="s">
        <v>151</v>
      </c>
      <c r="M6" s="59" t="s">
        <v>152</v>
      </c>
      <c r="N6" s="266"/>
    </row>
    <row r="7" spans="3:14" ht="15.75" x14ac:dyDescent="0.2">
      <c r="C7" s="54"/>
      <c r="D7" s="60" t="s">
        <v>2</v>
      </c>
      <c r="E7" s="61" t="s">
        <v>153</v>
      </c>
      <c r="F7" s="62"/>
      <c r="G7" s="63"/>
      <c r="H7" s="63"/>
      <c r="I7" s="64"/>
      <c r="J7" s="65"/>
      <c r="K7" s="65"/>
      <c r="L7" s="66"/>
      <c r="M7" s="66"/>
      <c r="N7" s="266"/>
    </row>
    <row r="8" spans="3:14" x14ac:dyDescent="0.2">
      <c r="C8" s="67"/>
      <c r="D8" s="68"/>
      <c r="E8" s="69"/>
      <c r="F8" s="70"/>
      <c r="G8" s="71"/>
      <c r="H8" s="71"/>
      <c r="I8" s="72"/>
      <c r="J8" s="73"/>
      <c r="K8" s="73"/>
      <c r="L8" s="74"/>
      <c r="M8" s="74"/>
      <c r="N8" s="266"/>
    </row>
    <row r="9" spans="3:14" ht="15" customHeight="1" x14ac:dyDescent="0.25">
      <c r="C9" s="267"/>
      <c r="D9" s="268">
        <v>1</v>
      </c>
      <c r="E9" s="269" t="s">
        <v>154</v>
      </c>
      <c r="F9" s="75">
        <v>0.45</v>
      </c>
      <c r="G9" s="76">
        <v>0.45</v>
      </c>
      <c r="H9" s="76">
        <v>0</v>
      </c>
      <c r="I9" s="77">
        <v>0</v>
      </c>
      <c r="J9" s="78">
        <v>0</v>
      </c>
      <c r="K9" s="76">
        <v>0</v>
      </c>
      <c r="L9" s="76">
        <v>0</v>
      </c>
      <c r="M9" s="79">
        <v>0.1</v>
      </c>
      <c r="N9" s="80">
        <f>SUM(F9:M9)</f>
        <v>1</v>
      </c>
    </row>
    <row r="10" spans="3:14" x14ac:dyDescent="0.2">
      <c r="C10" s="267"/>
      <c r="D10" s="268"/>
      <c r="E10" s="269"/>
      <c r="F10" s="81"/>
      <c r="G10" s="82"/>
      <c r="H10" s="83"/>
      <c r="I10" s="84"/>
      <c r="J10" s="85"/>
      <c r="K10" s="83"/>
      <c r="L10" s="83"/>
      <c r="M10" s="86"/>
      <c r="N10" s="54"/>
    </row>
    <row r="11" spans="3:14" x14ac:dyDescent="0.2">
      <c r="C11" s="267"/>
      <c r="D11" s="268"/>
      <c r="E11" s="269"/>
      <c r="F11" s="87">
        <f t="shared" ref="F11:M11" si="0">F9*$N$11</f>
        <v>22682.121408763582</v>
      </c>
      <c r="G11" s="88">
        <f t="shared" si="0"/>
        <v>22682.121408763582</v>
      </c>
      <c r="H11" s="88">
        <f t="shared" si="0"/>
        <v>0</v>
      </c>
      <c r="I11" s="89">
        <f t="shared" si="0"/>
        <v>0</v>
      </c>
      <c r="J11" s="90">
        <f t="shared" si="0"/>
        <v>0</v>
      </c>
      <c r="K11" s="88">
        <f t="shared" si="0"/>
        <v>0</v>
      </c>
      <c r="L11" s="88">
        <f t="shared" si="0"/>
        <v>0</v>
      </c>
      <c r="M11" s="91">
        <f t="shared" si="0"/>
        <v>5040.4714241696856</v>
      </c>
      <c r="N11" s="92">
        <f>'PLANILHA ORÇAMENTÁRIA'!L26</f>
        <v>50404.714241696849</v>
      </c>
    </row>
    <row r="12" spans="3:14" ht="15" x14ac:dyDescent="0.25">
      <c r="C12" s="267"/>
      <c r="D12" s="270">
        <v>2</v>
      </c>
      <c r="E12" s="271" t="s">
        <v>155</v>
      </c>
      <c r="F12" s="93">
        <v>0.1</v>
      </c>
      <c r="G12" s="94">
        <v>0.1</v>
      </c>
      <c r="H12" s="94">
        <v>0.2</v>
      </c>
      <c r="I12" s="95">
        <v>0.2</v>
      </c>
      <c r="J12" s="93">
        <v>0.1</v>
      </c>
      <c r="K12" s="94">
        <v>0.1</v>
      </c>
      <c r="L12" s="94">
        <v>0.1</v>
      </c>
      <c r="M12" s="96">
        <v>0.1</v>
      </c>
      <c r="N12" s="80">
        <f>SUM(F12:M12)</f>
        <v>1</v>
      </c>
    </row>
    <row r="13" spans="3:14" x14ac:dyDescent="0.2">
      <c r="C13" s="267"/>
      <c r="D13" s="270"/>
      <c r="E13" s="271"/>
      <c r="F13" s="85"/>
      <c r="G13" s="83"/>
      <c r="H13" s="82"/>
      <c r="I13" s="97"/>
      <c r="J13" s="98"/>
      <c r="K13" s="82"/>
      <c r="L13" s="82"/>
      <c r="M13" s="99"/>
      <c r="N13" s="54"/>
    </row>
    <row r="14" spans="3:14" x14ac:dyDescent="0.2">
      <c r="C14" s="267"/>
      <c r="D14" s="270"/>
      <c r="E14" s="271"/>
      <c r="F14" s="100">
        <f>F12*$N$14</f>
        <v>37685.918667911486</v>
      </c>
      <c r="G14" s="101">
        <f>G12*$N$14</f>
        <v>37685.918667911486</v>
      </c>
      <c r="H14" s="101">
        <f>$H$12*N$14</f>
        <v>75371.837335822973</v>
      </c>
      <c r="I14" s="102">
        <f>I12*$N$14</f>
        <v>75371.837335822973</v>
      </c>
      <c r="J14" s="100">
        <f>J12*$N$14</f>
        <v>37685.918667911486</v>
      </c>
      <c r="K14" s="101">
        <f>K12*$N$14</f>
        <v>37685.918667911486</v>
      </c>
      <c r="L14" s="101">
        <f>L12*$N$14</f>
        <v>37685.918667911486</v>
      </c>
      <c r="M14" s="103">
        <f>M12*$N$14</f>
        <v>37685.918667911486</v>
      </c>
      <c r="N14" s="92">
        <f>'PLANILHA ORÇAMENTÁRIA'!L46</f>
        <v>376859.18667911482</v>
      </c>
    </row>
    <row r="15" spans="3:14" ht="15" x14ac:dyDescent="0.25">
      <c r="C15" s="267"/>
      <c r="D15" s="272">
        <v>3</v>
      </c>
      <c r="E15" s="273" t="s">
        <v>123</v>
      </c>
      <c r="F15" s="75">
        <v>0</v>
      </c>
      <c r="G15" s="76">
        <v>0</v>
      </c>
      <c r="H15" s="76">
        <v>0</v>
      </c>
      <c r="I15" s="77">
        <v>0.1</v>
      </c>
      <c r="J15" s="78">
        <v>0.3</v>
      </c>
      <c r="K15" s="76">
        <v>0.3</v>
      </c>
      <c r="L15" s="76">
        <v>0.3</v>
      </c>
      <c r="M15" s="79">
        <v>0</v>
      </c>
      <c r="N15" s="80">
        <f>SUM(F15:M15)</f>
        <v>1</v>
      </c>
    </row>
    <row r="16" spans="3:14" x14ac:dyDescent="0.2">
      <c r="C16" s="267"/>
      <c r="D16" s="272"/>
      <c r="E16" s="273"/>
      <c r="F16" s="104"/>
      <c r="G16" s="83"/>
      <c r="H16" s="83"/>
      <c r="I16" s="84"/>
      <c r="J16" s="85"/>
      <c r="K16" s="83"/>
      <c r="L16" s="83"/>
      <c r="M16" s="86"/>
      <c r="N16" s="105"/>
    </row>
    <row r="17" spans="3:14" x14ac:dyDescent="0.2">
      <c r="C17" s="267"/>
      <c r="D17" s="272"/>
      <c r="E17" s="273"/>
      <c r="F17" s="87">
        <f t="shared" ref="F17:M17" si="1">F15*$N$17</f>
        <v>0</v>
      </c>
      <c r="G17" s="88">
        <f t="shared" si="1"/>
        <v>0</v>
      </c>
      <c r="H17" s="88">
        <f t="shared" si="1"/>
        <v>0</v>
      </c>
      <c r="I17" s="89">
        <f t="shared" si="1"/>
        <v>4260.6182110338841</v>
      </c>
      <c r="J17" s="90">
        <f t="shared" si="1"/>
        <v>12781.854633101653</v>
      </c>
      <c r="K17" s="88">
        <f t="shared" si="1"/>
        <v>12781.854633101653</v>
      </c>
      <c r="L17" s="88">
        <f t="shared" si="1"/>
        <v>12781.854633101653</v>
      </c>
      <c r="M17" s="91">
        <f t="shared" si="1"/>
        <v>0</v>
      </c>
      <c r="N17" s="92">
        <f>'PLANILHA ORÇAMENTÁRIA'!L52</f>
        <v>42606.182110338843</v>
      </c>
    </row>
    <row r="18" spans="3:14" ht="15" x14ac:dyDescent="0.2">
      <c r="C18" s="106"/>
      <c r="D18" s="107" t="s">
        <v>156</v>
      </c>
      <c r="E18" s="108"/>
      <c r="F18" s="276">
        <f>I11+H11+G11+F11+F14+G14+H14+I14+I17+H17+G17+F17</f>
        <v>275740.37303602998</v>
      </c>
      <c r="G18" s="276"/>
      <c r="H18" s="276"/>
      <c r="I18" s="276"/>
      <c r="J18" s="277">
        <f>M11+L11+K11+J11+J14+K14+L14+M14+M17+L17+K17+J17</f>
        <v>194129.70999512056</v>
      </c>
      <c r="K18" s="277"/>
      <c r="L18" s="277"/>
      <c r="M18" s="277"/>
      <c r="N18" s="278">
        <f>N17+N14+N11- TAD!L19</f>
        <v>439843.29855115054</v>
      </c>
    </row>
    <row r="19" spans="3:14" ht="15" x14ac:dyDescent="0.2">
      <c r="C19" s="109"/>
      <c r="D19" s="110" t="s">
        <v>157</v>
      </c>
      <c r="E19" s="186">
        <f>TAD!L21</f>
        <v>6.3904439896015561E-2</v>
      </c>
      <c r="F19" s="279">
        <f>F18*E19</f>
        <v>17621.034095585888</v>
      </c>
      <c r="G19" s="279"/>
      <c r="H19" s="279"/>
      <c r="I19" s="279"/>
      <c r="J19" s="280">
        <f>J18*E19</f>
        <v>12405.750384414114</v>
      </c>
      <c r="K19" s="280"/>
      <c r="L19" s="280"/>
      <c r="M19" s="280"/>
      <c r="N19" s="278"/>
    </row>
    <row r="20" spans="3:14" x14ac:dyDescent="0.2">
      <c r="C20" s="109"/>
      <c r="D20" s="111" t="s">
        <v>158</v>
      </c>
      <c r="E20" s="112"/>
      <c r="F20" s="281">
        <f>F18+F19</f>
        <v>293361.40713161585</v>
      </c>
      <c r="G20" s="281"/>
      <c r="H20" s="281"/>
      <c r="I20" s="281"/>
      <c r="J20" s="282">
        <f>F20+J18+J19</f>
        <v>499896.86751115054</v>
      </c>
      <c r="K20" s="282"/>
      <c r="L20" s="282"/>
      <c r="M20" s="282"/>
      <c r="N20" s="278"/>
    </row>
    <row r="21" spans="3:14" x14ac:dyDescent="0.2">
      <c r="C21" s="109"/>
      <c r="D21" s="43"/>
      <c r="E21" s="113"/>
      <c r="F21" s="43"/>
      <c r="G21" s="43"/>
      <c r="H21" s="43"/>
      <c r="I21" s="43"/>
      <c r="J21" s="43"/>
      <c r="K21" s="43"/>
      <c r="L21" s="43"/>
      <c r="M21" s="43"/>
      <c r="N21" s="114"/>
    </row>
    <row r="22" spans="3:14" x14ac:dyDescent="0.2">
      <c r="C22" s="109"/>
      <c r="D22" s="43"/>
      <c r="E22" s="113"/>
      <c r="F22" s="43"/>
      <c r="G22" s="43"/>
      <c r="H22" s="43"/>
      <c r="I22" s="43"/>
      <c r="J22" s="43"/>
      <c r="K22" s="43"/>
      <c r="L22" s="43"/>
      <c r="M22" s="43"/>
      <c r="N22" s="114"/>
    </row>
    <row r="23" spans="3:14" x14ac:dyDescent="0.2">
      <c r="C23" s="109"/>
      <c r="D23" s="43"/>
      <c r="E23" s="274" t="s">
        <v>263</v>
      </c>
      <c r="F23" s="274"/>
      <c r="G23" s="274"/>
      <c r="H23" s="274"/>
      <c r="I23" s="274"/>
      <c r="J23" s="115"/>
      <c r="K23" s="115"/>
      <c r="L23" s="115"/>
      <c r="M23" s="115"/>
      <c r="N23" s="114"/>
    </row>
    <row r="24" spans="3:14" x14ac:dyDescent="0.2">
      <c r="C24" s="109"/>
      <c r="D24" s="43"/>
      <c r="E24" s="116"/>
      <c r="F24" s="43"/>
      <c r="G24" s="43"/>
      <c r="H24" s="43"/>
      <c r="I24" s="43"/>
      <c r="J24" s="43"/>
      <c r="K24" s="43"/>
      <c r="L24" s="43"/>
      <c r="M24" s="43"/>
      <c r="N24" s="114"/>
    </row>
    <row r="25" spans="3:14" x14ac:dyDescent="0.2">
      <c r="C25" s="109"/>
      <c r="D25" s="43"/>
      <c r="E25" s="116"/>
      <c r="F25" s="43"/>
      <c r="G25" s="43"/>
      <c r="H25" s="43"/>
      <c r="I25" s="43"/>
      <c r="J25" s="43"/>
      <c r="K25" s="43"/>
      <c r="L25" s="43"/>
      <c r="M25" s="43"/>
      <c r="N25" s="114"/>
    </row>
    <row r="26" spans="3:14" x14ac:dyDescent="0.2">
      <c r="C26" s="109"/>
      <c r="D26" s="43"/>
      <c r="E26" s="116"/>
      <c r="F26" s="43"/>
      <c r="G26" s="43"/>
      <c r="H26" s="43"/>
      <c r="I26" s="43"/>
      <c r="J26" s="43"/>
      <c r="K26" s="43"/>
      <c r="L26" s="43"/>
      <c r="M26" s="43"/>
      <c r="N26" s="114"/>
    </row>
    <row r="27" spans="3:14" x14ac:dyDescent="0.2">
      <c r="C27" s="109"/>
      <c r="D27" s="43"/>
      <c r="E27" s="116"/>
      <c r="F27" s="43"/>
      <c r="G27" s="43"/>
      <c r="H27" s="43"/>
      <c r="I27" s="43"/>
      <c r="J27" s="43"/>
      <c r="K27" s="43"/>
      <c r="L27" s="43"/>
      <c r="M27" s="43"/>
      <c r="N27" s="114"/>
    </row>
    <row r="28" spans="3:14" ht="15" customHeight="1" x14ac:dyDescent="0.2">
      <c r="C28" s="109"/>
      <c r="D28" s="43"/>
      <c r="E28" s="275" t="s">
        <v>159</v>
      </c>
      <c r="F28" s="275"/>
      <c r="G28" s="275"/>
      <c r="H28" s="275"/>
      <c r="I28" s="275"/>
      <c r="J28" s="115"/>
      <c r="K28" s="115"/>
      <c r="L28" s="115"/>
      <c r="M28" s="115"/>
      <c r="N28" s="114"/>
    </row>
    <row r="29" spans="3:14" x14ac:dyDescent="0.2">
      <c r="C29" s="109"/>
      <c r="D29" s="43"/>
      <c r="E29" s="275"/>
      <c r="F29" s="275"/>
      <c r="G29" s="275"/>
      <c r="H29" s="275"/>
      <c r="I29" s="275"/>
      <c r="J29" s="115"/>
      <c r="K29" s="115"/>
      <c r="L29" s="115"/>
      <c r="M29" s="115"/>
      <c r="N29" s="114"/>
    </row>
    <row r="30" spans="3:14" x14ac:dyDescent="0.2">
      <c r="C30" s="109"/>
      <c r="D30" s="43"/>
      <c r="E30" s="275"/>
      <c r="F30" s="275"/>
      <c r="G30" s="275"/>
      <c r="H30" s="275"/>
      <c r="I30" s="275"/>
      <c r="J30" s="43"/>
      <c r="K30" s="43"/>
      <c r="L30" s="43"/>
      <c r="M30" s="43"/>
      <c r="N30" s="114"/>
    </row>
    <row r="31" spans="3:14" x14ac:dyDescent="0.2">
      <c r="C31" s="109"/>
      <c r="D31" s="43"/>
      <c r="E31" s="275"/>
      <c r="F31" s="275"/>
      <c r="G31" s="275"/>
      <c r="H31" s="275"/>
      <c r="I31" s="275"/>
      <c r="J31" s="43"/>
      <c r="K31" s="43"/>
      <c r="L31" s="43"/>
      <c r="M31" s="43"/>
      <c r="N31" s="114"/>
    </row>
    <row r="32" spans="3:14" x14ac:dyDescent="0.2">
      <c r="C32" s="117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9"/>
    </row>
  </sheetData>
  <mergeCells count="22">
    <mergeCell ref="E23:I23"/>
    <mergeCell ref="E28:I31"/>
    <mergeCell ref="F18:I18"/>
    <mergeCell ref="J18:M18"/>
    <mergeCell ref="N18:N20"/>
    <mergeCell ref="F19:I19"/>
    <mergeCell ref="J19:M19"/>
    <mergeCell ref="F20:I20"/>
    <mergeCell ref="J20:M20"/>
    <mergeCell ref="C9:C17"/>
    <mergeCell ref="D9:D11"/>
    <mergeCell ref="E9:E11"/>
    <mergeCell ref="D12:D14"/>
    <mergeCell ref="E12:E14"/>
    <mergeCell ref="D15:D17"/>
    <mergeCell ref="E15:E17"/>
    <mergeCell ref="C3:C4"/>
    <mergeCell ref="D3:N4"/>
    <mergeCell ref="D5:E6"/>
    <mergeCell ref="F5:I5"/>
    <mergeCell ref="J5:M5"/>
    <mergeCell ref="N5:N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L23"/>
  <sheetViews>
    <sheetView showGridLines="0" zoomScale="70" zoomScaleNormal="70" workbookViewId="0">
      <selection activeCell="F14" sqref="F14"/>
    </sheetView>
  </sheetViews>
  <sheetFormatPr defaultColWidth="8.375" defaultRowHeight="15.75" x14ac:dyDescent="0.2"/>
  <cols>
    <col min="1" max="1" width="6.375" style="1" customWidth="1"/>
    <col min="2" max="2" width="8" style="1" customWidth="1"/>
    <col min="3" max="3" width="17.625" style="2" customWidth="1"/>
    <col min="4" max="4" width="48.125" style="3" customWidth="1"/>
    <col min="5" max="5" width="10" style="1" customWidth="1"/>
    <col min="6" max="6" width="8.75" style="4" customWidth="1"/>
    <col min="7" max="7" width="51.25" style="3" customWidth="1"/>
    <col min="8" max="8" width="11.375" style="5" customWidth="1"/>
    <col min="9" max="9" width="12.875" style="5" customWidth="1"/>
    <col min="10" max="10" width="11.375" style="6" customWidth="1"/>
    <col min="11" max="11" width="11.375" style="5" customWidth="1"/>
    <col min="12" max="12" width="18.75" style="5" customWidth="1"/>
    <col min="13" max="64" width="8.375" style="1"/>
  </cols>
  <sheetData>
    <row r="1" spans="1:12" ht="15.75" customHeight="1" x14ac:dyDescent="0.2">
      <c r="A1" s="283"/>
      <c r="B1" s="283"/>
      <c r="C1" s="283"/>
      <c r="D1" s="284" t="s">
        <v>0</v>
      </c>
      <c r="E1" s="284"/>
      <c r="F1" s="284"/>
      <c r="G1" s="284"/>
      <c r="H1" s="284"/>
      <c r="I1" s="284"/>
      <c r="J1" s="284"/>
      <c r="K1" s="284"/>
      <c r="L1" s="284"/>
    </row>
    <row r="2" spans="1:12" x14ac:dyDescent="0.2">
      <c r="A2" s="283"/>
      <c r="B2" s="283"/>
      <c r="C2" s="283"/>
      <c r="D2" s="284"/>
      <c r="E2" s="284"/>
      <c r="F2" s="284"/>
      <c r="G2" s="284"/>
      <c r="H2" s="284"/>
      <c r="I2" s="284"/>
      <c r="J2" s="284"/>
      <c r="K2" s="284"/>
      <c r="L2" s="284"/>
    </row>
    <row r="3" spans="1:12" x14ac:dyDescent="0.2">
      <c r="A3" s="283"/>
      <c r="B3" s="283"/>
      <c r="C3" s="283"/>
      <c r="D3" s="284"/>
      <c r="E3" s="284"/>
      <c r="F3" s="284"/>
      <c r="G3" s="284"/>
      <c r="H3" s="284"/>
      <c r="I3" s="284"/>
      <c r="J3" s="284"/>
      <c r="K3" s="284"/>
      <c r="L3" s="284"/>
    </row>
    <row r="4" spans="1:12" x14ac:dyDescent="0.2">
      <c r="A4" s="283"/>
      <c r="B4" s="283"/>
      <c r="C4" s="283"/>
      <c r="D4" s="284"/>
      <c r="E4" s="284"/>
      <c r="F4" s="284"/>
      <c r="G4" s="284"/>
      <c r="H4" s="284"/>
      <c r="I4" s="284"/>
      <c r="J4" s="284"/>
      <c r="K4" s="284"/>
      <c r="L4" s="284"/>
    </row>
    <row r="5" spans="1:12" ht="15.75" customHeight="1" x14ac:dyDescent="0.2">
      <c r="A5" s="285" t="s">
        <v>1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</row>
    <row r="6" spans="1:12" ht="15.75" customHeight="1" x14ac:dyDescent="0.2">
      <c r="A6" s="285"/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</row>
    <row r="7" spans="1:12" ht="15.75" customHeight="1" x14ac:dyDescent="0.2">
      <c r="A7" s="285"/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</row>
    <row r="8" spans="1:12" ht="15.75" customHeight="1" x14ac:dyDescent="0.2">
      <c r="A8" s="285"/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</row>
    <row r="9" spans="1:12" ht="15.75" customHeight="1" x14ac:dyDescent="0.2">
      <c r="A9" s="285"/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</row>
    <row r="10" spans="1:12" ht="15.75" customHeight="1" x14ac:dyDescent="0.2">
      <c r="A10" s="285"/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</row>
    <row r="11" spans="1:12" ht="27.6" customHeight="1" x14ac:dyDescent="0.2">
      <c r="A11" s="253" t="s">
        <v>160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</row>
    <row r="12" spans="1:12" s="15" customFormat="1" ht="47.25" x14ac:dyDescent="0.2">
      <c r="A12" s="120" t="s">
        <v>2</v>
      </c>
      <c r="B12" s="8" t="s">
        <v>3</v>
      </c>
      <c r="C12" s="9" t="s">
        <v>4</v>
      </c>
      <c r="D12" s="10" t="s">
        <v>5</v>
      </c>
      <c r="E12" s="8" t="s">
        <v>6</v>
      </c>
      <c r="F12" s="11" t="s">
        <v>7</v>
      </c>
      <c r="G12" s="10" t="s">
        <v>8</v>
      </c>
      <c r="H12" s="12" t="s">
        <v>9</v>
      </c>
      <c r="I12" s="12" t="s">
        <v>10</v>
      </c>
      <c r="J12" s="13" t="s">
        <v>11</v>
      </c>
      <c r="K12" s="12" t="s">
        <v>12</v>
      </c>
      <c r="L12" s="121" t="s">
        <v>13</v>
      </c>
    </row>
    <row r="13" spans="1:12" s="15" customFormat="1" x14ac:dyDescent="0.2">
      <c r="A13" s="122">
        <v>1</v>
      </c>
      <c r="B13" s="286" t="s">
        <v>161</v>
      </c>
      <c r="C13" s="286"/>
      <c r="D13" s="286"/>
      <c r="E13" s="286"/>
      <c r="F13" s="286"/>
      <c r="G13" s="286"/>
      <c r="H13" s="286"/>
      <c r="I13" s="286"/>
      <c r="J13" s="286"/>
      <c r="K13" s="286"/>
      <c r="L13" s="286"/>
    </row>
    <row r="14" spans="1:12" s="15" customFormat="1" ht="25.5" x14ac:dyDescent="0.2">
      <c r="A14" s="123" t="s">
        <v>16</v>
      </c>
      <c r="B14" s="18" t="s">
        <v>17</v>
      </c>
      <c r="C14" s="124" t="s">
        <v>262</v>
      </c>
      <c r="D14" s="22" t="s">
        <v>264</v>
      </c>
      <c r="E14" s="18" t="s">
        <v>34</v>
      </c>
      <c r="F14" s="21">
        <f>44*3</f>
        <v>132</v>
      </c>
      <c r="G14" s="22" t="s">
        <v>272</v>
      </c>
      <c r="H14" s="184">
        <v>106.16</v>
      </c>
      <c r="I14" s="125">
        <f>H14*F14</f>
        <v>14013.119999999999</v>
      </c>
      <c r="J14" s="126">
        <v>0.2495</v>
      </c>
      <c r="K14" s="125">
        <f>H14+(H14*J14)</f>
        <v>132.64691999999999</v>
      </c>
      <c r="L14" s="127">
        <f>K14*F14</f>
        <v>17509.39344</v>
      </c>
    </row>
    <row r="15" spans="1:12" s="15" customFormat="1" ht="25.5" x14ac:dyDescent="0.2">
      <c r="A15" s="128" t="s">
        <v>22</v>
      </c>
      <c r="B15" s="27" t="s">
        <v>17</v>
      </c>
      <c r="C15" s="129">
        <v>90776</v>
      </c>
      <c r="D15" s="31" t="s">
        <v>162</v>
      </c>
      <c r="E15" s="27" t="s">
        <v>34</v>
      </c>
      <c r="F15" s="30">
        <f>22*8*2</f>
        <v>352</v>
      </c>
      <c r="G15" s="31" t="s">
        <v>163</v>
      </c>
      <c r="H15" s="185">
        <v>28.46</v>
      </c>
      <c r="I15" s="130">
        <f>H15*F15</f>
        <v>10017.92</v>
      </c>
      <c r="J15" s="24">
        <v>0.2495</v>
      </c>
      <c r="K15" s="130">
        <f>H15+(H15*J15)</f>
        <v>35.560769999999998</v>
      </c>
      <c r="L15" s="131">
        <f>K15*F15</f>
        <v>12517.391039999999</v>
      </c>
    </row>
    <row r="16" spans="1:12" s="15" customFormat="1" x14ac:dyDescent="0.2">
      <c r="A16" s="289" t="s">
        <v>70</v>
      </c>
      <c r="B16" s="289"/>
      <c r="C16" s="289"/>
      <c r="D16" s="289"/>
      <c r="E16" s="289"/>
      <c r="F16" s="289"/>
      <c r="G16" s="289"/>
      <c r="H16" s="289"/>
      <c r="I16" s="132">
        <f>SUM(I14:I15)</f>
        <v>24031.040000000001</v>
      </c>
      <c r="J16" s="133"/>
      <c r="K16" s="133"/>
      <c r="L16" s="134">
        <f>SUM(L14:L15)</f>
        <v>30026.784479999998</v>
      </c>
    </row>
    <row r="17" spans="1:12" s="46" customFormat="1" ht="15" customHeight="1" x14ac:dyDescent="0.2">
      <c r="A17" s="290" t="s">
        <v>141</v>
      </c>
      <c r="B17" s="290"/>
      <c r="C17" s="290"/>
      <c r="D17" s="290"/>
      <c r="E17" s="290"/>
      <c r="F17" s="290"/>
      <c r="G17" s="290"/>
      <c r="H17" s="290"/>
      <c r="I17" s="290"/>
      <c r="J17" s="290"/>
      <c r="K17" s="290"/>
      <c r="L17" s="135">
        <f>I16</f>
        <v>24031.040000000001</v>
      </c>
    </row>
    <row r="18" spans="1:12" s="46" customFormat="1" ht="15" customHeight="1" x14ac:dyDescent="0.2">
      <c r="A18" s="287" t="s">
        <v>142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136">
        <f>L19-L17</f>
        <v>5995.7444799999976</v>
      </c>
    </row>
    <row r="19" spans="1:12" s="46" customFormat="1" ht="15" customHeight="1" x14ac:dyDescent="0.2">
      <c r="A19" s="291" t="s">
        <v>143</v>
      </c>
      <c r="B19" s="291"/>
      <c r="C19" s="291"/>
      <c r="D19" s="291"/>
      <c r="E19" s="291"/>
      <c r="F19" s="291"/>
      <c r="G19" s="291"/>
      <c r="H19" s="291"/>
      <c r="I19" s="291"/>
      <c r="J19" s="291"/>
      <c r="K19" s="291"/>
      <c r="L19" s="137">
        <f>L16</f>
        <v>30026.784479999998</v>
      </c>
    </row>
    <row r="20" spans="1:12" s="46" customFormat="1" ht="15" customHeight="1" x14ac:dyDescent="0.2">
      <c r="A20" s="287" t="s">
        <v>164</v>
      </c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138">
        <f>'PLANILHA ORÇAMENTÁRIA'!M55</f>
        <v>469870.08303115051</v>
      </c>
    </row>
    <row r="21" spans="1:12" s="46" customFormat="1" ht="15" customHeight="1" x14ac:dyDescent="0.2">
      <c r="A21" s="287" t="s">
        <v>165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183">
        <f>L19/L20</f>
        <v>6.3904439896015561E-2</v>
      </c>
    </row>
    <row r="22" spans="1:12" ht="119.45" customHeight="1" x14ac:dyDescent="0.25">
      <c r="A22" s="288" t="s">
        <v>166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</row>
    <row r="23" spans="1:12" x14ac:dyDescent="0.2">
      <c r="A23" s="260"/>
      <c r="B23" s="260"/>
      <c r="C23" s="260"/>
      <c r="D23" s="260"/>
      <c r="E23" s="260"/>
      <c r="F23" s="260"/>
      <c r="G23" s="260"/>
      <c r="H23" s="260"/>
      <c r="I23" s="260"/>
      <c r="J23" s="260"/>
      <c r="K23" s="260"/>
      <c r="L23" s="260"/>
    </row>
  </sheetData>
  <mergeCells count="13">
    <mergeCell ref="A21:K21"/>
    <mergeCell ref="A22:L22"/>
    <mergeCell ref="A23:L23"/>
    <mergeCell ref="A16:H16"/>
    <mergeCell ref="A17:K17"/>
    <mergeCell ref="A18:K18"/>
    <mergeCell ref="A19:K19"/>
    <mergeCell ref="A20:K20"/>
    <mergeCell ref="A1:C4"/>
    <mergeCell ref="D1:L4"/>
    <mergeCell ref="A5:L10"/>
    <mergeCell ref="A11:L11"/>
    <mergeCell ref="B13:L13"/>
  </mergeCells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showGridLines="0" zoomScale="90" zoomScaleNormal="90" workbookViewId="0">
      <selection activeCell="F20" sqref="F20"/>
    </sheetView>
  </sheetViews>
  <sheetFormatPr defaultColWidth="8" defaultRowHeight="14.25" x14ac:dyDescent="0.2"/>
  <cols>
    <col min="1" max="1" width="11.25" customWidth="1"/>
    <col min="2" max="2" width="46.375" customWidth="1"/>
    <col min="4" max="4" width="22.75" customWidth="1"/>
    <col min="257" max="257" width="11.25" customWidth="1"/>
    <col min="258" max="258" width="46.375" customWidth="1"/>
    <col min="260" max="260" width="27.5" customWidth="1"/>
    <col min="513" max="513" width="11.25" customWidth="1"/>
    <col min="514" max="514" width="46.375" customWidth="1"/>
    <col min="516" max="516" width="27.5" customWidth="1"/>
    <col min="769" max="769" width="11.25" customWidth="1"/>
    <col min="770" max="770" width="46.375" customWidth="1"/>
    <col min="772" max="772" width="27.5" customWidth="1"/>
  </cols>
  <sheetData>
    <row r="1" spans="1:4" ht="15.75" customHeight="1" x14ac:dyDescent="0.2">
      <c r="A1" s="292" t="s">
        <v>167</v>
      </c>
      <c r="B1" s="292"/>
      <c r="C1" s="292"/>
      <c r="D1" s="292"/>
    </row>
    <row r="2" spans="1:4" ht="15.75" customHeight="1" x14ac:dyDescent="0.2">
      <c r="A2" s="293" t="s">
        <v>2</v>
      </c>
      <c r="B2" s="294" t="s">
        <v>153</v>
      </c>
      <c r="C2" s="293" t="s">
        <v>139</v>
      </c>
      <c r="D2" s="293" t="s">
        <v>168</v>
      </c>
    </row>
    <row r="3" spans="1:4" x14ac:dyDescent="0.2">
      <c r="A3" s="293"/>
      <c r="B3" s="294"/>
      <c r="C3" s="293"/>
      <c r="D3" s="293"/>
    </row>
    <row r="4" spans="1:4" ht="15.75" x14ac:dyDescent="0.2">
      <c r="A4" s="139"/>
      <c r="B4" s="140"/>
      <c r="C4" s="139"/>
      <c r="D4" s="141"/>
    </row>
    <row r="5" spans="1:4" ht="15.75" customHeight="1" x14ac:dyDescent="0.2">
      <c r="A5" s="142">
        <v>1</v>
      </c>
      <c r="B5" s="295" t="s">
        <v>169</v>
      </c>
      <c r="C5" s="295"/>
      <c r="D5" s="143"/>
    </row>
    <row r="6" spans="1:4" ht="15.75" customHeight="1" x14ac:dyDescent="0.2">
      <c r="A6" s="144" t="s">
        <v>16</v>
      </c>
      <c r="B6" s="296" t="s">
        <v>170</v>
      </c>
      <c r="C6" s="296"/>
      <c r="D6" s="145"/>
    </row>
    <row r="7" spans="1:4" ht="15" customHeight="1" x14ac:dyDescent="0.2">
      <c r="A7" s="139" t="s">
        <v>171</v>
      </c>
      <c r="B7" s="140" t="s">
        <v>172</v>
      </c>
      <c r="C7" s="139" t="s">
        <v>173</v>
      </c>
      <c r="D7" s="146">
        <v>3</v>
      </c>
    </row>
    <row r="8" spans="1:4" ht="15.75" customHeight="1" x14ac:dyDescent="0.2">
      <c r="A8" s="144" t="s">
        <v>22</v>
      </c>
      <c r="B8" s="296" t="s">
        <v>174</v>
      </c>
      <c r="C8" s="296"/>
      <c r="D8" s="147"/>
    </row>
    <row r="9" spans="1:4" ht="38.25" customHeight="1" x14ac:dyDescent="0.2">
      <c r="A9" s="139" t="s">
        <v>175</v>
      </c>
      <c r="B9" s="140" t="s">
        <v>176</v>
      </c>
      <c r="C9" s="139" t="s">
        <v>173</v>
      </c>
      <c r="D9" s="146">
        <v>1</v>
      </c>
    </row>
    <row r="10" spans="1:4" ht="51" customHeight="1" x14ac:dyDescent="0.2">
      <c r="A10" s="139" t="s">
        <v>177</v>
      </c>
      <c r="B10" s="140" t="s">
        <v>178</v>
      </c>
      <c r="C10" s="139" t="s">
        <v>173</v>
      </c>
      <c r="D10" s="146">
        <v>1.27</v>
      </c>
    </row>
    <row r="11" spans="1:4" ht="15.75" customHeight="1" x14ac:dyDescent="0.2">
      <c r="A11" s="144" t="s">
        <v>27</v>
      </c>
      <c r="B11" s="296" t="s">
        <v>179</v>
      </c>
      <c r="C11" s="296"/>
      <c r="D11" s="147"/>
    </row>
    <row r="12" spans="1:4" ht="17.25" customHeight="1" x14ac:dyDescent="0.2">
      <c r="A12" s="139" t="s">
        <v>180</v>
      </c>
      <c r="B12" s="140" t="s">
        <v>181</v>
      </c>
      <c r="C12" s="139" t="s">
        <v>173</v>
      </c>
      <c r="D12" s="146">
        <v>0.14000000000000001</v>
      </c>
    </row>
    <row r="13" spans="1:4" ht="15.75" customHeight="1" x14ac:dyDescent="0.2">
      <c r="A13" s="144" t="s">
        <v>31</v>
      </c>
      <c r="B13" s="296" t="s">
        <v>182</v>
      </c>
      <c r="C13" s="296"/>
      <c r="D13" s="145"/>
    </row>
    <row r="14" spans="1:4" ht="15.75" x14ac:dyDescent="0.2">
      <c r="A14" s="139" t="s">
        <v>183</v>
      </c>
      <c r="B14" s="140" t="s">
        <v>184</v>
      </c>
      <c r="C14" s="139" t="s">
        <v>173</v>
      </c>
      <c r="D14" s="146">
        <v>2</v>
      </c>
    </row>
    <row r="15" spans="1:4" ht="15.75" x14ac:dyDescent="0.2">
      <c r="A15" s="139" t="s">
        <v>185</v>
      </c>
      <c r="B15" s="140" t="s">
        <v>186</v>
      </c>
      <c r="C15" s="139" t="s">
        <v>173</v>
      </c>
      <c r="D15" s="146">
        <v>3</v>
      </c>
    </row>
    <row r="16" spans="1:4" ht="15.75" x14ac:dyDescent="0.2">
      <c r="A16" s="139" t="s">
        <v>187</v>
      </c>
      <c r="B16" s="140" t="s">
        <v>188</v>
      </c>
      <c r="C16" s="139" t="s">
        <v>173</v>
      </c>
      <c r="D16" s="146">
        <v>0.65</v>
      </c>
    </row>
    <row r="17" spans="1:4" ht="15.75" x14ac:dyDescent="0.2">
      <c r="A17" s="139" t="s">
        <v>189</v>
      </c>
      <c r="B17" s="140" t="s">
        <v>190</v>
      </c>
      <c r="C17" s="139" t="s">
        <v>173</v>
      </c>
      <c r="D17" s="146">
        <v>4.5</v>
      </c>
    </row>
    <row r="18" spans="1:4" ht="15.75" customHeight="1" x14ac:dyDescent="0.2">
      <c r="A18" s="142">
        <v>2</v>
      </c>
      <c r="B18" s="295" t="s">
        <v>191</v>
      </c>
      <c r="C18" s="295"/>
      <c r="D18" s="143"/>
    </row>
    <row r="19" spans="1:4" ht="15.75" customHeight="1" x14ac:dyDescent="0.2">
      <c r="A19" s="148" t="s">
        <v>73</v>
      </c>
      <c r="B19" s="299" t="s">
        <v>192</v>
      </c>
      <c r="C19" s="299"/>
      <c r="D19" s="149"/>
    </row>
    <row r="20" spans="1:4" ht="15.75" x14ac:dyDescent="0.2">
      <c r="A20" s="139" t="s">
        <v>193</v>
      </c>
      <c r="B20" s="140" t="s">
        <v>194</v>
      </c>
      <c r="C20" s="139" t="s">
        <v>173</v>
      </c>
      <c r="D20" s="146">
        <v>6.5</v>
      </c>
    </row>
    <row r="21" spans="1:4" ht="29.25" customHeight="1" x14ac:dyDescent="0.2">
      <c r="A21" s="294" t="s">
        <v>195</v>
      </c>
      <c r="B21" s="294"/>
      <c r="C21" s="294"/>
      <c r="D21" s="300">
        <f>((((1+(D7/100)+(D9/100)+(D10/100))*(1+(D12/100))*(1+(D20/100)))/(1-((D14+D15+D16+D17)/100)))-1)</f>
        <v>0.24952150884808</v>
      </c>
    </row>
    <row r="22" spans="1:4" ht="33" customHeight="1" x14ac:dyDescent="0.2">
      <c r="A22" s="294"/>
      <c r="B22" s="294"/>
      <c r="C22" s="294"/>
      <c r="D22" s="300"/>
    </row>
    <row r="23" spans="1:4" ht="15.6" customHeight="1" x14ac:dyDescent="0.2">
      <c r="A23" s="297" t="s">
        <v>196</v>
      </c>
      <c r="B23" s="297"/>
      <c r="C23" s="297"/>
      <c r="D23" s="297"/>
    </row>
    <row r="24" spans="1:4" ht="15.6" customHeight="1" x14ac:dyDescent="0.2">
      <c r="A24" s="297" t="s">
        <v>197</v>
      </c>
      <c r="B24" s="297"/>
      <c r="C24" s="297"/>
      <c r="D24" s="297"/>
    </row>
    <row r="25" spans="1:4" ht="178.15" customHeight="1" x14ac:dyDescent="0.2">
      <c r="A25" s="298" t="s">
        <v>159</v>
      </c>
      <c r="B25" s="298"/>
      <c r="C25" s="298"/>
      <c r="D25" s="298"/>
    </row>
    <row r="26" spans="1:4" ht="29.25" customHeight="1" x14ac:dyDescent="0.2">
      <c r="A26" s="298"/>
      <c r="B26" s="298"/>
      <c r="C26" s="298"/>
      <c r="D26" s="298"/>
    </row>
    <row r="27" spans="1:4" ht="33" customHeight="1" x14ac:dyDescent="0.2">
      <c r="A27" s="298"/>
      <c r="B27" s="298"/>
      <c r="C27" s="298"/>
      <c r="D27" s="298"/>
    </row>
    <row r="28" spans="1:4" ht="15.75" x14ac:dyDescent="0.25">
      <c r="A28" s="150"/>
      <c r="B28" s="150"/>
      <c r="C28" s="150"/>
      <c r="D28" s="150"/>
    </row>
  </sheetData>
  <mergeCells count="17">
    <mergeCell ref="A24:D24"/>
    <mergeCell ref="A25:D27"/>
    <mergeCell ref="B18:C18"/>
    <mergeCell ref="B19:C19"/>
    <mergeCell ref="A21:C22"/>
    <mergeCell ref="D21:D22"/>
    <mergeCell ref="A23:D23"/>
    <mergeCell ref="B5:C5"/>
    <mergeCell ref="B6:C6"/>
    <mergeCell ref="B8:C8"/>
    <mergeCell ref="B11:C11"/>
    <mergeCell ref="B13:C13"/>
    <mergeCell ref="A1:D1"/>
    <mergeCell ref="A2:A3"/>
    <mergeCell ref="B2:B3"/>
    <mergeCell ref="C2:C3"/>
    <mergeCell ref="D2:D3"/>
  </mergeCells>
  <pageMargins left="0.51180555555555496" right="0.51180555555555496" top="0.78749999999999998" bottom="0.78749999999999998" header="0.51180555555555496" footer="0.51180555555555496"/>
  <pageSetup paperSize="9" scale="90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69"/>
  <sheetViews>
    <sheetView showGridLines="0" zoomScale="85" zoomScaleNormal="85" workbookViewId="0">
      <selection activeCell="A12" sqref="A12:J12"/>
    </sheetView>
  </sheetViews>
  <sheetFormatPr defaultColWidth="8.375" defaultRowHeight="15.75" x14ac:dyDescent="0.2"/>
  <cols>
    <col min="1" max="1" width="6.375" style="1" customWidth="1"/>
    <col min="2" max="2" width="8" style="1" customWidth="1"/>
    <col min="3" max="3" width="17.625" style="2" customWidth="1"/>
    <col min="4" max="4" width="48.125" style="3" customWidth="1"/>
    <col min="5" max="5" width="10" style="1" customWidth="1"/>
    <col min="6" max="6" width="8.75" style="4" customWidth="1"/>
    <col min="7" max="7" width="8.75" style="3" customWidth="1"/>
    <col min="8" max="8" width="12.125" style="5" customWidth="1"/>
    <col min="9" max="9" width="11.25" style="5" customWidth="1"/>
    <col min="10" max="10" width="12.25" style="6" customWidth="1"/>
    <col min="11" max="61" width="8.375" style="1"/>
  </cols>
  <sheetData>
    <row r="1" spans="1:61" ht="16.5" customHeight="1" x14ac:dyDescent="0.2">
      <c r="A1" s="301"/>
      <c r="B1" s="301"/>
      <c r="C1" s="301"/>
      <c r="D1" s="302" t="s">
        <v>0</v>
      </c>
      <c r="E1" s="302"/>
      <c r="F1" s="302"/>
      <c r="G1" s="302"/>
      <c r="H1" s="302"/>
      <c r="I1" s="302"/>
      <c r="J1" s="302"/>
    </row>
    <row r="2" spans="1:61" x14ac:dyDescent="0.2">
      <c r="A2" s="301"/>
      <c r="B2" s="301"/>
      <c r="C2" s="301"/>
      <c r="D2" s="302"/>
      <c r="E2" s="302"/>
      <c r="F2" s="302"/>
      <c r="G2" s="302"/>
      <c r="H2" s="302"/>
      <c r="I2" s="302"/>
      <c r="J2" s="302"/>
    </row>
    <row r="3" spans="1:61" x14ac:dyDescent="0.2">
      <c r="A3" s="301"/>
      <c r="B3" s="301"/>
      <c r="C3" s="301"/>
      <c r="D3" s="302"/>
      <c r="E3" s="302"/>
      <c r="F3" s="302"/>
      <c r="G3" s="302"/>
      <c r="H3" s="302"/>
      <c r="I3" s="302"/>
      <c r="J3" s="302"/>
    </row>
    <row r="4" spans="1:61" x14ac:dyDescent="0.2">
      <c r="A4" s="301"/>
      <c r="B4" s="301"/>
      <c r="C4" s="301"/>
      <c r="D4" s="302"/>
      <c r="E4" s="302"/>
      <c r="F4" s="302"/>
      <c r="G4" s="302"/>
      <c r="H4" s="302"/>
      <c r="I4" s="302"/>
      <c r="J4" s="302"/>
    </row>
    <row r="5" spans="1:61" ht="15.75" customHeight="1" x14ac:dyDescent="0.2">
      <c r="A5" s="252" t="s">
        <v>1</v>
      </c>
      <c r="B5" s="252"/>
      <c r="C5" s="252"/>
      <c r="D5" s="252"/>
      <c r="E5" s="252"/>
      <c r="F5" s="252"/>
      <c r="G5" s="252"/>
      <c r="H5" s="252"/>
      <c r="I5" s="252"/>
      <c r="J5" s="252"/>
    </row>
    <row r="6" spans="1:61" ht="15.75" customHeight="1" x14ac:dyDescent="0.2">
      <c r="A6" s="252"/>
      <c r="B6" s="252"/>
      <c r="C6" s="252"/>
      <c r="D6" s="252"/>
      <c r="E6" s="252"/>
      <c r="F6" s="252"/>
      <c r="G6" s="252"/>
      <c r="H6" s="252"/>
      <c r="I6" s="252"/>
      <c r="J6" s="252"/>
    </row>
    <row r="7" spans="1:61" ht="15.75" customHeight="1" x14ac:dyDescent="0.2">
      <c r="A7" s="252"/>
      <c r="B7" s="252"/>
      <c r="C7" s="252"/>
      <c r="D7" s="252"/>
      <c r="E7" s="252"/>
      <c r="F7" s="252"/>
      <c r="G7" s="252"/>
      <c r="H7" s="252"/>
      <c r="I7" s="252"/>
      <c r="J7" s="252"/>
    </row>
    <row r="8" spans="1:61" ht="15.75" customHeight="1" x14ac:dyDescent="0.2">
      <c r="A8" s="252"/>
      <c r="B8" s="252"/>
      <c r="C8" s="252"/>
      <c r="D8" s="252"/>
      <c r="E8" s="252"/>
      <c r="F8" s="252"/>
      <c r="G8" s="252"/>
      <c r="H8" s="252"/>
      <c r="I8" s="252"/>
      <c r="J8" s="252"/>
    </row>
    <row r="9" spans="1:61" ht="15.75" customHeight="1" x14ac:dyDescent="0.2">
      <c r="A9" s="252"/>
      <c r="B9" s="252"/>
      <c r="C9" s="252"/>
      <c r="D9" s="252"/>
      <c r="E9" s="252"/>
      <c r="F9" s="252"/>
      <c r="G9" s="252"/>
      <c r="H9" s="252"/>
      <c r="I9" s="252"/>
      <c r="J9" s="252"/>
    </row>
    <row r="10" spans="1:61" ht="15.75" customHeight="1" x14ac:dyDescent="0.2">
      <c r="A10" s="252"/>
      <c r="B10" s="252"/>
      <c r="C10" s="252"/>
      <c r="D10" s="252"/>
      <c r="E10" s="252"/>
      <c r="F10" s="252"/>
      <c r="G10" s="252"/>
      <c r="H10" s="252"/>
      <c r="I10" s="252"/>
      <c r="J10" s="252"/>
    </row>
    <row r="11" spans="1:61" ht="27.6" customHeight="1" x14ac:dyDescent="0.2">
      <c r="A11" s="253" t="s">
        <v>274</v>
      </c>
      <c r="B11" s="253"/>
      <c r="C11" s="253"/>
      <c r="D11" s="253"/>
      <c r="E11" s="253"/>
      <c r="F11" s="253"/>
      <c r="G11" s="253"/>
      <c r="H11" s="253"/>
      <c r="I11" s="253"/>
      <c r="J11" s="253"/>
    </row>
    <row r="12" spans="1:61" x14ac:dyDescent="0.2">
      <c r="A12" s="303" t="s">
        <v>198</v>
      </c>
      <c r="B12" s="303"/>
      <c r="C12" s="303"/>
      <c r="D12" s="303"/>
      <c r="E12" s="303"/>
      <c r="F12" s="303"/>
      <c r="G12" s="303"/>
      <c r="H12" s="303"/>
      <c r="I12" s="303"/>
      <c r="J12" s="303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</row>
    <row r="13" spans="1:61" x14ac:dyDescent="0.2">
      <c r="A13" s="304" t="s">
        <v>4</v>
      </c>
      <c r="B13" s="304"/>
      <c r="C13" s="304"/>
      <c r="D13" s="304" t="s">
        <v>199</v>
      </c>
      <c r="E13" s="304"/>
      <c r="F13" s="304"/>
      <c r="G13" s="304"/>
      <c r="H13" s="304"/>
      <c r="I13" s="304"/>
      <c r="J13" s="151" t="s">
        <v>6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</row>
    <row r="14" spans="1:61" ht="26.45" customHeight="1" x14ac:dyDescent="0.2">
      <c r="A14" s="152" t="s">
        <v>22</v>
      </c>
      <c r="B14" s="153" t="s">
        <v>200</v>
      </c>
      <c r="C14" s="154" t="s">
        <v>24</v>
      </c>
      <c r="D14" s="305" t="s">
        <v>25</v>
      </c>
      <c r="E14" s="305"/>
      <c r="F14" s="305"/>
      <c r="G14" s="305"/>
      <c r="H14" s="305"/>
      <c r="I14" s="305"/>
      <c r="J14" s="155" t="s">
        <v>20</v>
      </c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</row>
    <row r="15" spans="1:61" x14ac:dyDescent="0.2">
      <c r="A15" s="303" t="s">
        <v>201</v>
      </c>
      <c r="B15" s="303"/>
      <c r="C15" s="303"/>
      <c r="D15" s="303"/>
      <c r="E15" s="303"/>
      <c r="F15" s="303"/>
      <c r="G15" s="303"/>
      <c r="H15" s="303"/>
      <c r="I15" s="303"/>
      <c r="J15" s="303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</row>
    <row r="16" spans="1:61" ht="14.25" x14ac:dyDescent="0.2">
      <c r="A16" s="306" t="s">
        <v>4</v>
      </c>
      <c r="B16" s="306"/>
      <c r="C16" s="306"/>
      <c r="D16" s="307" t="s">
        <v>202</v>
      </c>
      <c r="E16" s="307"/>
      <c r="F16" s="307"/>
      <c r="G16" s="156" t="s">
        <v>6</v>
      </c>
      <c r="H16" s="156" t="s">
        <v>203</v>
      </c>
      <c r="I16" s="156" t="s">
        <v>204</v>
      </c>
      <c r="J16" s="157" t="s">
        <v>205</v>
      </c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</row>
    <row r="17" spans="1:61" ht="24" customHeight="1" x14ac:dyDescent="0.2">
      <c r="A17" s="308" t="s">
        <v>206</v>
      </c>
      <c r="B17" s="308"/>
      <c r="C17" s="308"/>
      <c r="D17" s="309" t="s">
        <v>207</v>
      </c>
      <c r="E17" s="309"/>
      <c r="F17" s="309"/>
      <c r="G17" s="158" t="s">
        <v>208</v>
      </c>
      <c r="H17" s="158">
        <v>4</v>
      </c>
      <c r="I17" s="159">
        <v>30.78</v>
      </c>
      <c r="J17" s="160">
        <f t="shared" ref="J17:J22" si="0">I17*H17</f>
        <v>123.12</v>
      </c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</row>
    <row r="18" spans="1:61" ht="24" customHeight="1" x14ac:dyDescent="0.2">
      <c r="A18" s="308" t="s">
        <v>275</v>
      </c>
      <c r="B18" s="308"/>
      <c r="C18" s="308"/>
      <c r="D18" s="309" t="s">
        <v>209</v>
      </c>
      <c r="E18" s="309"/>
      <c r="F18" s="309"/>
      <c r="G18" s="158" t="s">
        <v>210</v>
      </c>
      <c r="H18" s="158">
        <v>1</v>
      </c>
      <c r="I18" s="159">
        <v>275</v>
      </c>
      <c r="J18" s="160">
        <f t="shared" si="0"/>
        <v>275</v>
      </c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</row>
    <row r="19" spans="1:61" ht="12.75" customHeight="1" x14ac:dyDescent="0.2">
      <c r="A19" s="310" t="s">
        <v>276</v>
      </c>
      <c r="B19" s="310"/>
      <c r="C19" s="310"/>
      <c r="D19" s="309" t="s">
        <v>211</v>
      </c>
      <c r="E19" s="309"/>
      <c r="F19" s="309"/>
      <c r="G19" s="158" t="s">
        <v>208</v>
      </c>
      <c r="H19" s="158">
        <v>1</v>
      </c>
      <c r="I19" s="159">
        <v>2.63</v>
      </c>
      <c r="J19" s="160">
        <f t="shared" si="0"/>
        <v>2.63</v>
      </c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</row>
    <row r="20" spans="1:61" ht="12.75" customHeight="1" x14ac:dyDescent="0.2">
      <c r="A20" s="310" t="s">
        <v>212</v>
      </c>
      <c r="B20" s="310"/>
      <c r="C20" s="310"/>
      <c r="D20" s="309" t="s">
        <v>213</v>
      </c>
      <c r="E20" s="309"/>
      <c r="F20" s="309"/>
      <c r="G20" s="158" t="s">
        <v>214</v>
      </c>
      <c r="H20" s="158">
        <v>1</v>
      </c>
      <c r="I20" s="159">
        <v>25.47</v>
      </c>
      <c r="J20" s="160">
        <f t="shared" si="0"/>
        <v>25.47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</row>
    <row r="21" spans="1:61" ht="12.75" customHeight="1" x14ac:dyDescent="0.2">
      <c r="A21" s="310" t="s">
        <v>277</v>
      </c>
      <c r="B21" s="310"/>
      <c r="C21" s="310"/>
      <c r="D21" s="309" t="s">
        <v>215</v>
      </c>
      <c r="E21" s="309"/>
      <c r="F21" s="309"/>
      <c r="G21" s="158" t="s">
        <v>216</v>
      </c>
      <c r="H21" s="158">
        <v>0.15</v>
      </c>
      <c r="I21" s="159">
        <v>20.85</v>
      </c>
      <c r="J21" s="160">
        <f t="shared" si="0"/>
        <v>3.1274999999999999</v>
      </c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</row>
    <row r="22" spans="1:61" ht="12.75" customHeight="1" x14ac:dyDescent="0.2">
      <c r="A22" s="310" t="s">
        <v>217</v>
      </c>
      <c r="B22" s="310"/>
      <c r="C22" s="310"/>
      <c r="D22" s="309" t="s">
        <v>218</v>
      </c>
      <c r="E22" s="309"/>
      <c r="F22" s="309"/>
      <c r="G22" s="158" t="s">
        <v>214</v>
      </c>
      <c r="H22" s="158">
        <v>2</v>
      </c>
      <c r="I22" s="159">
        <v>18.23</v>
      </c>
      <c r="J22" s="160">
        <f t="shared" si="0"/>
        <v>36.46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</row>
    <row r="23" spans="1:61" ht="14.25" x14ac:dyDescent="0.2">
      <c r="A23" s="311" t="s">
        <v>219</v>
      </c>
      <c r="B23" s="311"/>
      <c r="C23" s="311"/>
      <c r="D23" s="311"/>
      <c r="E23" s="311"/>
      <c r="F23" s="311"/>
      <c r="G23" s="311"/>
      <c r="H23" s="311"/>
      <c r="I23" s="311"/>
      <c r="J23" s="161">
        <f>J17+J18+J19+J20+J21+J22</f>
        <v>465.8075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</row>
    <row r="24" spans="1:61" x14ac:dyDescent="0.2">
      <c r="A24" s="304" t="s">
        <v>4</v>
      </c>
      <c r="B24" s="304"/>
      <c r="C24" s="304"/>
      <c r="D24" s="304" t="s">
        <v>199</v>
      </c>
      <c r="E24" s="304"/>
      <c r="F24" s="304"/>
      <c r="G24" s="304"/>
      <c r="H24" s="304"/>
      <c r="I24" s="304"/>
      <c r="J24" s="151" t="s">
        <v>6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</row>
    <row r="25" spans="1:61" ht="26.45" customHeight="1" x14ac:dyDescent="0.2">
      <c r="A25" s="152" t="s">
        <v>31</v>
      </c>
      <c r="B25" s="153" t="s">
        <v>200</v>
      </c>
      <c r="C25" s="154" t="s">
        <v>32</v>
      </c>
      <c r="D25" s="305" t="s">
        <v>220</v>
      </c>
      <c r="E25" s="305"/>
      <c r="F25" s="305"/>
      <c r="G25" s="305"/>
      <c r="H25" s="305"/>
      <c r="I25" s="305"/>
      <c r="J25" s="155" t="s">
        <v>34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</row>
    <row r="26" spans="1:61" x14ac:dyDescent="0.2">
      <c r="A26" s="303" t="s">
        <v>201</v>
      </c>
      <c r="B26" s="303"/>
      <c r="C26" s="303"/>
      <c r="D26" s="303"/>
      <c r="E26" s="303"/>
      <c r="F26" s="303"/>
      <c r="G26" s="303"/>
      <c r="H26" s="303"/>
      <c r="I26" s="303"/>
      <c r="J26" s="303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</row>
    <row r="27" spans="1:61" ht="14.25" x14ac:dyDescent="0.2">
      <c r="A27" s="306" t="s">
        <v>4</v>
      </c>
      <c r="B27" s="306"/>
      <c r="C27" s="306"/>
      <c r="D27" s="307" t="s">
        <v>202</v>
      </c>
      <c r="E27" s="307"/>
      <c r="F27" s="307"/>
      <c r="G27" s="156" t="s">
        <v>6</v>
      </c>
      <c r="H27" s="156" t="s">
        <v>203</v>
      </c>
      <c r="I27" s="156" t="s">
        <v>204</v>
      </c>
      <c r="J27" s="157" t="s">
        <v>205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</row>
    <row r="28" spans="1:61" ht="14.25" x14ac:dyDescent="0.2">
      <c r="A28" s="308" t="s">
        <v>221</v>
      </c>
      <c r="B28" s="308"/>
      <c r="C28" s="308"/>
      <c r="D28" s="310" t="s">
        <v>222</v>
      </c>
      <c r="E28" s="310"/>
      <c r="F28" s="310"/>
      <c r="G28" s="158" t="s">
        <v>214</v>
      </c>
      <c r="H28" s="158">
        <v>2.7E-2</v>
      </c>
      <c r="I28" s="159">
        <v>30.91</v>
      </c>
      <c r="J28" s="160">
        <f t="shared" ref="J28:J33" si="1">I28*H28</f>
        <v>0.83457000000000003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</row>
    <row r="29" spans="1:61" ht="14.25" x14ac:dyDescent="0.2">
      <c r="A29" s="308" t="s">
        <v>223</v>
      </c>
      <c r="B29" s="308"/>
      <c r="C29" s="308"/>
      <c r="D29" s="310" t="s">
        <v>224</v>
      </c>
      <c r="E29" s="310"/>
      <c r="F29" s="310"/>
      <c r="G29" s="158" t="s">
        <v>214</v>
      </c>
      <c r="H29" s="158">
        <v>5.5E-2</v>
      </c>
      <c r="I29" s="159">
        <v>14.75</v>
      </c>
      <c r="J29" s="160">
        <f t="shared" si="1"/>
        <v>0.81125000000000003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</row>
    <row r="30" spans="1:61" ht="24" customHeight="1" x14ac:dyDescent="0.2">
      <c r="A30" s="310" t="s">
        <v>278</v>
      </c>
      <c r="B30" s="310"/>
      <c r="C30" s="310"/>
      <c r="D30" s="309" t="s">
        <v>225</v>
      </c>
      <c r="E30" s="309"/>
      <c r="F30" s="309"/>
      <c r="G30" s="158" t="s">
        <v>214</v>
      </c>
      <c r="H30" s="158">
        <v>5.5E-2</v>
      </c>
      <c r="I30" s="159">
        <v>7.0000000000000007E-2</v>
      </c>
      <c r="J30" s="160">
        <f t="shared" si="1"/>
        <v>3.8500000000000006E-3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</row>
    <row r="31" spans="1:61" ht="24" customHeight="1" x14ac:dyDescent="0.2">
      <c r="A31" s="310" t="s">
        <v>279</v>
      </c>
      <c r="B31" s="310"/>
      <c r="C31" s="310"/>
      <c r="D31" s="309" t="s">
        <v>226</v>
      </c>
      <c r="E31" s="309"/>
      <c r="F31" s="309"/>
      <c r="G31" s="158" t="s">
        <v>214</v>
      </c>
      <c r="H31" s="158">
        <v>5.5E-2</v>
      </c>
      <c r="I31" s="159">
        <v>0.62</v>
      </c>
      <c r="J31" s="160">
        <f t="shared" si="1"/>
        <v>3.4099999999999998E-2</v>
      </c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</row>
    <row r="32" spans="1:61" ht="24" customHeight="1" x14ac:dyDescent="0.2">
      <c r="A32" s="310" t="s">
        <v>227</v>
      </c>
      <c r="B32" s="310"/>
      <c r="C32" s="310"/>
      <c r="D32" s="309" t="s">
        <v>228</v>
      </c>
      <c r="E32" s="309"/>
      <c r="F32" s="309"/>
      <c r="G32" s="158" t="s">
        <v>214</v>
      </c>
      <c r="H32" s="158">
        <v>2.7E-2</v>
      </c>
      <c r="I32" s="159">
        <v>2.25</v>
      </c>
      <c r="J32" s="160">
        <f t="shared" si="1"/>
        <v>6.0749999999999998E-2</v>
      </c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</row>
    <row r="33" spans="1:61" ht="12.75" customHeight="1" x14ac:dyDescent="0.2">
      <c r="A33" s="310" t="s">
        <v>229</v>
      </c>
      <c r="B33" s="310"/>
      <c r="C33" s="310"/>
      <c r="D33" s="309" t="s">
        <v>230</v>
      </c>
      <c r="E33" s="309"/>
      <c r="F33" s="309"/>
      <c r="G33" s="158" t="s">
        <v>214</v>
      </c>
      <c r="H33" s="158">
        <v>0.01</v>
      </c>
      <c r="I33" s="159">
        <v>19.07</v>
      </c>
      <c r="J33" s="160">
        <f t="shared" si="1"/>
        <v>0.19070000000000001</v>
      </c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</row>
    <row r="34" spans="1:61" ht="14.25" x14ac:dyDescent="0.2">
      <c r="A34" s="311" t="s">
        <v>219</v>
      </c>
      <c r="B34" s="311"/>
      <c r="C34" s="311"/>
      <c r="D34" s="311"/>
      <c r="E34" s="311"/>
      <c r="F34" s="311"/>
      <c r="G34" s="311"/>
      <c r="H34" s="311"/>
      <c r="I34" s="311"/>
      <c r="J34" s="161">
        <f>J28+J29+J30+J31+J32+J33</f>
        <v>1.9352200000000002</v>
      </c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</row>
    <row r="35" spans="1:61" x14ac:dyDescent="0.2">
      <c r="A35" s="304" t="s">
        <v>4</v>
      </c>
      <c r="B35" s="304"/>
      <c r="C35" s="304"/>
      <c r="D35" s="304" t="s">
        <v>199</v>
      </c>
      <c r="E35" s="304"/>
      <c r="F35" s="304"/>
      <c r="G35" s="304"/>
      <c r="H35" s="304"/>
      <c r="I35" s="304"/>
      <c r="J35" s="151" t="s">
        <v>6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</row>
    <row r="36" spans="1:61" ht="26.45" customHeight="1" x14ac:dyDescent="0.2">
      <c r="A36" s="152" t="s">
        <v>31</v>
      </c>
      <c r="B36" s="153" t="s">
        <v>200</v>
      </c>
      <c r="C36" s="154" t="s">
        <v>63</v>
      </c>
      <c r="D36" s="305" t="s">
        <v>231</v>
      </c>
      <c r="E36" s="305"/>
      <c r="F36" s="305"/>
      <c r="G36" s="305"/>
      <c r="H36" s="305"/>
      <c r="I36" s="305"/>
      <c r="J36" s="155" t="s">
        <v>232</v>
      </c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</row>
    <row r="37" spans="1:61" x14ac:dyDescent="0.2">
      <c r="A37" s="303" t="s">
        <v>201</v>
      </c>
      <c r="B37" s="303"/>
      <c r="C37" s="303"/>
      <c r="D37" s="303"/>
      <c r="E37" s="303"/>
      <c r="F37" s="303"/>
      <c r="G37" s="303"/>
      <c r="H37" s="303"/>
      <c r="I37" s="303"/>
      <c r="J37" s="303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</row>
    <row r="38" spans="1:61" ht="14.25" x14ac:dyDescent="0.2">
      <c r="A38" s="306" t="s">
        <v>4</v>
      </c>
      <c r="B38" s="306"/>
      <c r="C38" s="306"/>
      <c r="D38" s="307" t="s">
        <v>202</v>
      </c>
      <c r="E38" s="307"/>
      <c r="F38" s="307"/>
      <c r="G38" s="156" t="s">
        <v>6</v>
      </c>
      <c r="H38" s="156" t="s">
        <v>203</v>
      </c>
      <c r="I38" s="156" t="s">
        <v>204</v>
      </c>
      <c r="J38" s="157" t="s">
        <v>205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</row>
    <row r="39" spans="1:61" ht="14.25" x14ac:dyDescent="0.2">
      <c r="A39" s="308" t="s">
        <v>233</v>
      </c>
      <c r="B39" s="308"/>
      <c r="C39" s="308"/>
      <c r="D39" s="310" t="s">
        <v>234</v>
      </c>
      <c r="E39" s="310"/>
      <c r="F39" s="310"/>
      <c r="G39" s="158" t="s">
        <v>214</v>
      </c>
      <c r="H39" s="159">
        <v>6</v>
      </c>
      <c r="I39" s="159">
        <v>24.92</v>
      </c>
      <c r="J39" s="160">
        <f t="shared" ref="J39:J44" si="2">I39*H39</f>
        <v>149.52000000000001</v>
      </c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</row>
    <row r="40" spans="1:61" ht="14.25" x14ac:dyDescent="0.2">
      <c r="A40" s="308" t="s">
        <v>235</v>
      </c>
      <c r="B40" s="308"/>
      <c r="C40" s="308"/>
      <c r="D40" s="310" t="s">
        <v>236</v>
      </c>
      <c r="E40" s="310"/>
      <c r="F40" s="310"/>
      <c r="G40" s="158" t="s">
        <v>214</v>
      </c>
      <c r="H40" s="159">
        <v>8</v>
      </c>
      <c r="I40" s="159">
        <v>18.86</v>
      </c>
      <c r="J40" s="160">
        <f t="shared" si="2"/>
        <v>150.88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</row>
    <row r="41" spans="1:61" ht="24" customHeight="1" x14ac:dyDescent="0.2">
      <c r="A41" s="310" t="s">
        <v>237</v>
      </c>
      <c r="B41" s="310"/>
      <c r="C41" s="310"/>
      <c r="D41" s="310" t="s">
        <v>238</v>
      </c>
      <c r="E41" s="310"/>
      <c r="F41" s="310"/>
      <c r="G41" s="158" t="s">
        <v>214</v>
      </c>
      <c r="H41" s="159">
        <v>4</v>
      </c>
      <c r="I41" s="159">
        <v>6.95</v>
      </c>
      <c r="J41" s="160">
        <f t="shared" si="2"/>
        <v>27.8</v>
      </c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</row>
    <row r="42" spans="1:61" ht="24" customHeight="1" x14ac:dyDescent="0.2">
      <c r="A42" s="310" t="s">
        <v>227</v>
      </c>
      <c r="B42" s="310"/>
      <c r="C42" s="310"/>
      <c r="D42" s="310" t="s">
        <v>239</v>
      </c>
      <c r="E42" s="310"/>
      <c r="F42" s="310"/>
      <c r="G42" s="158" t="s">
        <v>240</v>
      </c>
      <c r="H42" s="159">
        <v>1</v>
      </c>
      <c r="I42" s="159">
        <v>2.25</v>
      </c>
      <c r="J42" s="160">
        <f t="shared" si="2"/>
        <v>2.25</v>
      </c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</row>
    <row r="43" spans="1:61" ht="12.75" customHeight="1" x14ac:dyDescent="0.2">
      <c r="A43" s="310" t="s">
        <v>241</v>
      </c>
      <c r="B43" s="310"/>
      <c r="C43" s="310"/>
      <c r="D43" s="310" t="s">
        <v>242</v>
      </c>
      <c r="E43" s="310"/>
      <c r="F43" s="310"/>
      <c r="G43" s="158" t="s">
        <v>216</v>
      </c>
      <c r="H43" s="159">
        <v>3.9</v>
      </c>
      <c r="I43" s="159">
        <v>10.83</v>
      </c>
      <c r="J43" s="160">
        <f t="shared" si="2"/>
        <v>42.237000000000002</v>
      </c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</row>
    <row r="44" spans="1:61" ht="12.75" customHeight="1" x14ac:dyDescent="0.2">
      <c r="A44" s="310" t="s">
        <v>243</v>
      </c>
      <c r="B44" s="310"/>
      <c r="C44" s="310"/>
      <c r="D44" s="310" t="s">
        <v>244</v>
      </c>
      <c r="E44" s="310"/>
      <c r="F44" s="310"/>
      <c r="G44" s="158" t="s">
        <v>245</v>
      </c>
      <c r="H44" s="159">
        <f>3.9*5</f>
        <v>19.5</v>
      </c>
      <c r="I44" s="159">
        <v>1.83</v>
      </c>
      <c r="J44" s="160">
        <f t="shared" si="2"/>
        <v>35.685000000000002</v>
      </c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</row>
    <row r="45" spans="1:61" ht="14.25" x14ac:dyDescent="0.2">
      <c r="A45" s="311" t="s">
        <v>219</v>
      </c>
      <c r="B45" s="311"/>
      <c r="C45" s="311"/>
      <c r="D45" s="311" t="s">
        <v>246</v>
      </c>
      <c r="E45" s="311" t="s">
        <v>246</v>
      </c>
      <c r="F45" s="311" t="s">
        <v>246</v>
      </c>
      <c r="G45" s="311"/>
      <c r="H45" s="311"/>
      <c r="I45" s="311"/>
      <c r="J45" s="161">
        <f>J39+J40+J41+J42+J43+J44</f>
        <v>408.37200000000001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</row>
    <row r="46" spans="1:61" x14ac:dyDescent="0.2">
      <c r="A46" s="304" t="s">
        <v>4</v>
      </c>
      <c r="B46" s="304"/>
      <c r="C46" s="304"/>
      <c r="D46" s="304" t="s">
        <v>199</v>
      </c>
      <c r="E46" s="304"/>
      <c r="F46" s="304"/>
      <c r="G46" s="304"/>
      <c r="H46" s="304"/>
      <c r="I46" s="304"/>
      <c r="J46" s="151" t="s">
        <v>6</v>
      </c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</row>
    <row r="47" spans="1:61" ht="26.45" customHeight="1" x14ac:dyDescent="0.2">
      <c r="A47" s="152" t="s">
        <v>124</v>
      </c>
      <c r="B47" s="153" t="s">
        <v>200</v>
      </c>
      <c r="C47" s="154" t="s">
        <v>125</v>
      </c>
      <c r="D47" s="305" t="s">
        <v>126</v>
      </c>
      <c r="E47" s="305"/>
      <c r="F47" s="305"/>
      <c r="G47" s="305"/>
      <c r="H47" s="305"/>
      <c r="I47" s="305"/>
      <c r="J47" s="155" t="s">
        <v>89</v>
      </c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</row>
    <row r="48" spans="1:61" x14ac:dyDescent="0.2">
      <c r="A48" s="303" t="s">
        <v>201</v>
      </c>
      <c r="B48" s="303"/>
      <c r="C48" s="303"/>
      <c r="D48" s="303"/>
      <c r="E48" s="303"/>
      <c r="F48" s="303"/>
      <c r="G48" s="303"/>
      <c r="H48" s="303"/>
      <c r="I48" s="303"/>
      <c r="J48" s="303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</row>
    <row r="49" spans="1:61" ht="14.25" x14ac:dyDescent="0.2">
      <c r="A49" s="306" t="s">
        <v>4</v>
      </c>
      <c r="B49" s="306"/>
      <c r="C49" s="306"/>
      <c r="D49" s="307" t="s">
        <v>202</v>
      </c>
      <c r="E49" s="307"/>
      <c r="F49" s="307"/>
      <c r="G49" s="156" t="s">
        <v>6</v>
      </c>
      <c r="H49" s="156" t="s">
        <v>203</v>
      </c>
      <c r="I49" s="156" t="s">
        <v>204</v>
      </c>
      <c r="J49" s="157" t="s">
        <v>205</v>
      </c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</row>
    <row r="50" spans="1:61" ht="24" customHeight="1" x14ac:dyDescent="0.2">
      <c r="A50" s="308" t="s">
        <v>247</v>
      </c>
      <c r="B50" s="308"/>
      <c r="C50" s="308"/>
      <c r="D50" s="309" t="s">
        <v>248</v>
      </c>
      <c r="E50" s="309"/>
      <c r="F50" s="309"/>
      <c r="G50" s="158" t="s">
        <v>210</v>
      </c>
      <c r="H50" s="158">
        <v>4.5999999999999996</v>
      </c>
      <c r="I50" s="159">
        <v>9.7799999999999994</v>
      </c>
      <c r="J50" s="160">
        <f t="shared" ref="J50:J57" si="3">I50*H50</f>
        <v>44.987999999999992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</row>
    <row r="51" spans="1:61" ht="14.25" x14ac:dyDescent="0.2">
      <c r="A51" s="308" t="s">
        <v>249</v>
      </c>
      <c r="B51" s="308"/>
      <c r="C51" s="308"/>
      <c r="D51" s="310" t="s">
        <v>250</v>
      </c>
      <c r="E51" s="310"/>
      <c r="F51" s="310"/>
      <c r="G51" s="158" t="s">
        <v>251</v>
      </c>
      <c r="H51" s="158">
        <v>0.81640000000000001</v>
      </c>
      <c r="I51" s="159">
        <v>98.03</v>
      </c>
      <c r="J51" s="160">
        <f t="shared" si="3"/>
        <v>80.031692000000007</v>
      </c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</row>
    <row r="52" spans="1:61" ht="46.9" customHeight="1" x14ac:dyDescent="0.2">
      <c r="A52" s="310" t="s">
        <v>252</v>
      </c>
      <c r="B52" s="310"/>
      <c r="C52" s="310"/>
      <c r="D52" s="309" t="s">
        <v>253</v>
      </c>
      <c r="E52" s="309"/>
      <c r="F52" s="309"/>
      <c r="G52" s="158" t="s">
        <v>254</v>
      </c>
      <c r="H52" s="158">
        <v>3.2500000000000001E-2</v>
      </c>
      <c r="I52" s="159">
        <v>171.17</v>
      </c>
      <c r="J52" s="160">
        <f t="shared" si="3"/>
        <v>5.5630249999999997</v>
      </c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</row>
    <row r="53" spans="1:61" ht="46.9" customHeight="1" x14ac:dyDescent="0.2">
      <c r="A53" s="310" t="s">
        <v>255</v>
      </c>
      <c r="B53" s="310"/>
      <c r="C53" s="310"/>
      <c r="D53" s="309" t="s">
        <v>256</v>
      </c>
      <c r="E53" s="309"/>
      <c r="F53" s="309"/>
      <c r="G53" s="158" t="s">
        <v>254</v>
      </c>
      <c r="H53" s="158">
        <v>9.6799999999999997E-2</v>
      </c>
      <c r="I53" s="159">
        <v>68.28</v>
      </c>
      <c r="J53" s="160">
        <f t="shared" si="3"/>
        <v>6.6095040000000003</v>
      </c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</row>
    <row r="54" spans="1:61" ht="35.450000000000003" customHeight="1" x14ac:dyDescent="0.2">
      <c r="A54" s="310" t="s">
        <v>280</v>
      </c>
      <c r="B54" s="310"/>
      <c r="C54" s="310"/>
      <c r="D54" s="309" t="s">
        <v>257</v>
      </c>
      <c r="E54" s="309"/>
      <c r="F54" s="309"/>
      <c r="G54" s="158" t="s">
        <v>208</v>
      </c>
      <c r="H54" s="158">
        <v>1.0029999999999999</v>
      </c>
      <c r="I54" s="159">
        <v>11.37</v>
      </c>
      <c r="J54" s="160">
        <f t="shared" si="3"/>
        <v>11.404109999999998</v>
      </c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</row>
    <row r="55" spans="1:61" ht="12.75" customHeight="1" x14ac:dyDescent="0.2">
      <c r="A55" s="310" t="s">
        <v>258</v>
      </c>
      <c r="B55" s="310"/>
      <c r="C55" s="310"/>
      <c r="D55" s="309" t="s">
        <v>259</v>
      </c>
      <c r="E55" s="309"/>
      <c r="F55" s="309"/>
      <c r="G55" s="158" t="s">
        <v>214</v>
      </c>
      <c r="H55" s="158">
        <v>6.4600000000000005E-2</v>
      </c>
      <c r="I55" s="159">
        <v>25.73</v>
      </c>
      <c r="J55" s="160">
        <f t="shared" si="3"/>
        <v>1.6621580000000002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</row>
    <row r="56" spans="1:61" ht="12.75" customHeight="1" x14ac:dyDescent="0.2">
      <c r="A56" s="310" t="s">
        <v>217</v>
      </c>
      <c r="B56" s="310"/>
      <c r="C56" s="310"/>
      <c r="D56" s="309" t="s">
        <v>218</v>
      </c>
      <c r="E56" s="309"/>
      <c r="F56" s="309"/>
      <c r="G56" s="158" t="s">
        <v>214</v>
      </c>
      <c r="H56" s="158">
        <v>0.19389999999999999</v>
      </c>
      <c r="I56" s="159">
        <v>18.23</v>
      </c>
      <c r="J56" s="160">
        <f t="shared" si="3"/>
        <v>3.5347969999999997</v>
      </c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</row>
    <row r="57" spans="1:61" ht="46.9" customHeight="1" x14ac:dyDescent="0.2">
      <c r="A57" s="310" t="s">
        <v>260</v>
      </c>
      <c r="B57" s="310"/>
      <c r="C57" s="310"/>
      <c r="D57" s="309" t="s">
        <v>261</v>
      </c>
      <c r="E57" s="309"/>
      <c r="F57" s="309"/>
      <c r="G57" s="158" t="s">
        <v>251</v>
      </c>
      <c r="H57" s="158">
        <v>0.75</v>
      </c>
      <c r="I57" s="159">
        <v>8.1</v>
      </c>
      <c r="J57" s="160">
        <f t="shared" si="3"/>
        <v>6.0749999999999993</v>
      </c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</row>
    <row r="58" spans="1:61" ht="14.25" x14ac:dyDescent="0.2">
      <c r="A58" s="311" t="s">
        <v>219</v>
      </c>
      <c r="B58" s="311"/>
      <c r="C58" s="311"/>
      <c r="D58" s="311"/>
      <c r="E58" s="311"/>
      <c r="F58" s="311"/>
      <c r="G58" s="311"/>
      <c r="H58" s="311"/>
      <c r="I58" s="311"/>
      <c r="J58" s="161">
        <f>J50+J51+J52+J53+J54+J55+J56+J57</f>
        <v>159.86828599999998</v>
      </c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</row>
    <row r="59" spans="1:61" x14ac:dyDescent="0.2">
      <c r="A59" s="304" t="s">
        <v>4</v>
      </c>
      <c r="B59" s="304"/>
      <c r="C59" s="304"/>
      <c r="D59" s="304" t="s">
        <v>199</v>
      </c>
      <c r="E59" s="304"/>
      <c r="F59" s="304"/>
      <c r="G59" s="304"/>
      <c r="H59" s="304"/>
      <c r="I59" s="304"/>
      <c r="J59" s="151" t="s">
        <v>6</v>
      </c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</row>
    <row r="60" spans="1:61" ht="26.45" customHeight="1" x14ac:dyDescent="0.2">
      <c r="A60" s="152" t="s">
        <v>128</v>
      </c>
      <c r="B60" s="153" t="s">
        <v>200</v>
      </c>
      <c r="C60" s="154" t="s">
        <v>129</v>
      </c>
      <c r="D60" s="305" t="s">
        <v>130</v>
      </c>
      <c r="E60" s="305"/>
      <c r="F60" s="305"/>
      <c r="G60" s="305"/>
      <c r="H60" s="305"/>
      <c r="I60" s="305"/>
      <c r="J60" s="155" t="s">
        <v>89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</row>
    <row r="61" spans="1:61" x14ac:dyDescent="0.2">
      <c r="A61" s="303" t="s">
        <v>201</v>
      </c>
      <c r="B61" s="303"/>
      <c r="C61" s="303"/>
      <c r="D61" s="303"/>
      <c r="E61" s="303"/>
      <c r="F61" s="303"/>
      <c r="G61" s="303"/>
      <c r="H61" s="303"/>
      <c r="I61" s="303"/>
      <c r="J61" s="303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</row>
    <row r="62" spans="1:61" ht="14.25" x14ac:dyDescent="0.2">
      <c r="A62" s="306" t="s">
        <v>4</v>
      </c>
      <c r="B62" s="306"/>
      <c r="C62" s="306"/>
      <c r="D62" s="307" t="s">
        <v>202</v>
      </c>
      <c r="E62" s="307"/>
      <c r="F62" s="307"/>
      <c r="G62" s="156" t="s">
        <v>6</v>
      </c>
      <c r="H62" s="156" t="s">
        <v>203</v>
      </c>
      <c r="I62" s="156" t="s">
        <v>204</v>
      </c>
      <c r="J62" s="157" t="s">
        <v>205</v>
      </c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</row>
    <row r="63" spans="1:61" ht="24" customHeight="1" x14ac:dyDescent="0.2">
      <c r="A63" s="308" t="s">
        <v>247</v>
      </c>
      <c r="B63" s="308"/>
      <c r="C63" s="308"/>
      <c r="D63" s="309" t="s">
        <v>248</v>
      </c>
      <c r="E63" s="309"/>
      <c r="F63" s="309"/>
      <c r="G63" s="158" t="s">
        <v>210</v>
      </c>
      <c r="H63" s="158">
        <v>2.2999999999999998</v>
      </c>
      <c r="I63" s="159">
        <v>9.7799999999999994</v>
      </c>
      <c r="J63" s="160">
        <f t="shared" ref="J63:J68" si="4">I63*H63</f>
        <v>22.493999999999996</v>
      </c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</row>
    <row r="64" spans="1:61" ht="14.25" x14ac:dyDescent="0.2">
      <c r="A64" s="308" t="s">
        <v>249</v>
      </c>
      <c r="B64" s="308"/>
      <c r="C64" s="308"/>
      <c r="D64" s="310" t="s">
        <v>250</v>
      </c>
      <c r="E64" s="310"/>
      <c r="F64" s="310"/>
      <c r="G64" s="158" t="s">
        <v>251</v>
      </c>
      <c r="H64" s="158">
        <v>0.16739999999999999</v>
      </c>
      <c r="I64" s="159">
        <v>98.03</v>
      </c>
      <c r="J64" s="160">
        <f t="shared" si="4"/>
        <v>16.410222000000001</v>
      </c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</row>
    <row r="65" spans="1:61" ht="35.450000000000003" customHeight="1" x14ac:dyDescent="0.2">
      <c r="A65" s="310" t="s">
        <v>280</v>
      </c>
      <c r="B65" s="310"/>
      <c r="C65" s="310"/>
      <c r="D65" s="309" t="s">
        <v>257</v>
      </c>
      <c r="E65" s="309"/>
      <c r="F65" s="309"/>
      <c r="G65" s="158" t="s">
        <v>208</v>
      </c>
      <c r="H65" s="158">
        <v>1.0029999999999999</v>
      </c>
      <c r="I65" s="159">
        <v>11.37</v>
      </c>
      <c r="J65" s="160">
        <f t="shared" si="4"/>
        <v>11.404109999999998</v>
      </c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</row>
    <row r="66" spans="1:61" ht="12.75" customHeight="1" x14ac:dyDescent="0.2">
      <c r="A66" s="310" t="s">
        <v>258</v>
      </c>
      <c r="B66" s="310"/>
      <c r="C66" s="310"/>
      <c r="D66" s="309" t="s">
        <v>259</v>
      </c>
      <c r="E66" s="309"/>
      <c r="F66" s="309"/>
      <c r="G66" s="158" t="s">
        <v>214</v>
      </c>
      <c r="H66" s="158">
        <v>7.0199999999999999E-2</v>
      </c>
      <c r="I66" s="159">
        <v>25.73</v>
      </c>
      <c r="J66" s="160">
        <f t="shared" si="4"/>
        <v>1.806246</v>
      </c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</row>
    <row r="67" spans="1:61" ht="12.75" customHeight="1" x14ac:dyDescent="0.2">
      <c r="A67" s="310" t="s">
        <v>217</v>
      </c>
      <c r="B67" s="310"/>
      <c r="C67" s="310"/>
      <c r="D67" s="309" t="s">
        <v>218</v>
      </c>
      <c r="E67" s="309"/>
      <c r="F67" s="309"/>
      <c r="G67" s="158" t="s">
        <v>214</v>
      </c>
      <c r="H67" s="158">
        <v>0.21049999999999999</v>
      </c>
      <c r="I67" s="159">
        <v>18.23</v>
      </c>
      <c r="J67" s="160">
        <f t="shared" si="4"/>
        <v>3.837415</v>
      </c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</row>
    <row r="68" spans="1:61" ht="46.9" customHeight="1" x14ac:dyDescent="0.2">
      <c r="A68" s="310" t="s">
        <v>260</v>
      </c>
      <c r="B68" s="310"/>
      <c r="C68" s="310"/>
      <c r="D68" s="309" t="s">
        <v>261</v>
      </c>
      <c r="E68" s="309"/>
      <c r="F68" s="309"/>
      <c r="G68" s="158" t="s">
        <v>251</v>
      </c>
      <c r="H68" s="158">
        <v>0.16</v>
      </c>
      <c r="I68" s="159">
        <v>8.1</v>
      </c>
      <c r="J68" s="160">
        <f t="shared" si="4"/>
        <v>1.296</v>
      </c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</row>
    <row r="69" spans="1:61" ht="14.25" x14ac:dyDescent="0.2">
      <c r="A69" s="311" t="s">
        <v>219</v>
      </c>
      <c r="B69" s="311"/>
      <c r="C69" s="311"/>
      <c r="D69" s="311"/>
      <c r="E69" s="311"/>
      <c r="F69" s="311"/>
      <c r="G69" s="311"/>
      <c r="H69" s="311"/>
      <c r="I69" s="311"/>
      <c r="J69" s="161">
        <f>J63+J64+J65+J66+J67+J68</f>
        <v>57.247992999999994</v>
      </c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</row>
  </sheetData>
  <mergeCells count="104">
    <mergeCell ref="A65:C65"/>
    <mergeCell ref="D65:F65"/>
    <mergeCell ref="A66:C66"/>
    <mergeCell ref="D66:F66"/>
    <mergeCell ref="A67:C67"/>
    <mergeCell ref="D67:F67"/>
    <mergeCell ref="A68:C68"/>
    <mergeCell ref="D68:F68"/>
    <mergeCell ref="A69:I69"/>
    <mergeCell ref="A59:C59"/>
    <mergeCell ref="D59:I59"/>
    <mergeCell ref="D60:I60"/>
    <mergeCell ref="A61:J61"/>
    <mergeCell ref="A62:C62"/>
    <mergeCell ref="D62:F62"/>
    <mergeCell ref="A63:C63"/>
    <mergeCell ref="D63:F63"/>
    <mergeCell ref="A64:C64"/>
    <mergeCell ref="D64:F64"/>
    <mergeCell ref="A54:C54"/>
    <mergeCell ref="D54:F54"/>
    <mergeCell ref="A55:C55"/>
    <mergeCell ref="D55:F55"/>
    <mergeCell ref="A56:C56"/>
    <mergeCell ref="D56:F56"/>
    <mergeCell ref="A57:C57"/>
    <mergeCell ref="D57:F57"/>
    <mergeCell ref="A58:I58"/>
    <mergeCell ref="A49:C49"/>
    <mergeCell ref="D49:F49"/>
    <mergeCell ref="A50:C50"/>
    <mergeCell ref="D50:F50"/>
    <mergeCell ref="A51:C51"/>
    <mergeCell ref="D51:F51"/>
    <mergeCell ref="A52:C52"/>
    <mergeCell ref="D52:F52"/>
    <mergeCell ref="A53:C53"/>
    <mergeCell ref="D53:F53"/>
    <mergeCell ref="A43:C43"/>
    <mergeCell ref="D43:F43"/>
    <mergeCell ref="A44:C44"/>
    <mergeCell ref="D44:F44"/>
    <mergeCell ref="A45:I45"/>
    <mergeCell ref="A46:C46"/>
    <mergeCell ref="D46:I46"/>
    <mergeCell ref="D47:I47"/>
    <mergeCell ref="A48:J48"/>
    <mergeCell ref="A38:C38"/>
    <mergeCell ref="D38:F38"/>
    <mergeCell ref="A39:C39"/>
    <mergeCell ref="D39:F39"/>
    <mergeCell ref="A40:C40"/>
    <mergeCell ref="D40:F40"/>
    <mergeCell ref="A41:C41"/>
    <mergeCell ref="D41:F41"/>
    <mergeCell ref="A42:C42"/>
    <mergeCell ref="D42:F42"/>
    <mergeCell ref="A32:C32"/>
    <mergeCell ref="D32:F32"/>
    <mergeCell ref="A33:C33"/>
    <mergeCell ref="D33:F33"/>
    <mergeCell ref="A34:I34"/>
    <mergeCell ref="A35:C35"/>
    <mergeCell ref="D35:I35"/>
    <mergeCell ref="D36:I36"/>
    <mergeCell ref="A37:J37"/>
    <mergeCell ref="A27:C27"/>
    <mergeCell ref="D27:F27"/>
    <mergeCell ref="A28:C28"/>
    <mergeCell ref="D28:F28"/>
    <mergeCell ref="A29:C29"/>
    <mergeCell ref="D29:F29"/>
    <mergeCell ref="A30:C30"/>
    <mergeCell ref="D30:F30"/>
    <mergeCell ref="A31:C31"/>
    <mergeCell ref="D31:F31"/>
    <mergeCell ref="A21:C21"/>
    <mergeCell ref="D21:F21"/>
    <mergeCell ref="A22:C22"/>
    <mergeCell ref="D22:F22"/>
    <mergeCell ref="A23:I23"/>
    <mergeCell ref="A24:C24"/>
    <mergeCell ref="D24:I24"/>
    <mergeCell ref="D25:I25"/>
    <mergeCell ref="A26:J26"/>
    <mergeCell ref="A16:C16"/>
    <mergeCell ref="D16:F16"/>
    <mergeCell ref="A17:C17"/>
    <mergeCell ref="D17:F17"/>
    <mergeCell ref="A18:C18"/>
    <mergeCell ref="D18:F18"/>
    <mergeCell ref="A19:C19"/>
    <mergeCell ref="D19:F19"/>
    <mergeCell ref="A20:C20"/>
    <mergeCell ref="D20:F20"/>
    <mergeCell ref="A1:C4"/>
    <mergeCell ref="D1:J4"/>
    <mergeCell ref="A5:J10"/>
    <mergeCell ref="A11:J11"/>
    <mergeCell ref="A12:J12"/>
    <mergeCell ref="A13:C13"/>
    <mergeCell ref="D13:I13"/>
    <mergeCell ref="D14:I14"/>
    <mergeCell ref="A15:J1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6FC38-368F-4DE7-9124-B429A79F0B76}">
  <sheetPr>
    <pageSetUpPr fitToPage="1"/>
  </sheetPr>
  <dimension ref="A1:BE39"/>
  <sheetViews>
    <sheetView showGridLines="0" zoomScale="85" zoomScaleNormal="85" workbookViewId="0">
      <selection activeCell="P7" sqref="P7"/>
    </sheetView>
  </sheetViews>
  <sheetFormatPr defaultColWidth="8.375" defaultRowHeight="15.75" x14ac:dyDescent="0.2"/>
  <cols>
    <col min="1" max="1" width="48.125" style="3" customWidth="1"/>
    <col min="2" max="2" width="10" style="1" customWidth="1"/>
    <col min="3" max="3" width="8.75" style="4" customWidth="1"/>
    <col min="4" max="4" width="11.375" style="5" customWidth="1"/>
    <col min="5" max="5" width="12.875" style="5" customWidth="1"/>
    <col min="6" max="6" width="11.375" style="6" customWidth="1"/>
    <col min="7" max="7" width="11.375" style="5" customWidth="1"/>
    <col min="8" max="8" width="15.5" style="5" customWidth="1"/>
    <col min="9" max="9" width="12.5" style="1" customWidth="1"/>
    <col min="10" max="10" width="12.75" style="1" customWidth="1"/>
    <col min="11" max="11" width="11.5" style="1" customWidth="1"/>
    <col min="12" max="12" width="11.375" style="1" customWidth="1"/>
    <col min="13" max="15" width="8.375" style="1"/>
    <col min="16" max="16" width="10.375" style="1" customWidth="1"/>
    <col min="17" max="17" width="11.125" style="1" customWidth="1"/>
    <col min="18" max="57" width="8.375" style="1"/>
  </cols>
  <sheetData>
    <row r="1" spans="1:57" ht="16.5" customHeight="1" x14ac:dyDescent="0.2">
      <c r="A1" s="318" t="s">
        <v>0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57" ht="17.25" customHeight="1" x14ac:dyDescent="0.2">
      <c r="A2" s="318"/>
      <c r="B2" s="319"/>
      <c r="C2" s="319"/>
      <c r="D2" s="319"/>
      <c r="E2" s="319"/>
      <c r="F2" s="319"/>
      <c r="G2" s="319"/>
      <c r="H2" s="319"/>
      <c r="I2" s="319"/>
      <c r="J2" s="319"/>
      <c r="K2" s="319"/>
    </row>
    <row r="3" spans="1:57" ht="17.25" customHeight="1" x14ac:dyDescent="0.2">
      <c r="A3" s="318"/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57" ht="17.25" customHeight="1" thickBot="1" x14ac:dyDescent="0.25">
      <c r="A4" s="320"/>
      <c r="B4" s="321"/>
      <c r="C4" s="321"/>
      <c r="D4" s="321"/>
      <c r="E4" s="321"/>
      <c r="F4" s="321"/>
      <c r="G4" s="321"/>
      <c r="H4" s="321"/>
      <c r="I4" s="321"/>
      <c r="J4" s="321"/>
      <c r="K4" s="321"/>
    </row>
    <row r="5" spans="1:57" ht="27.6" customHeight="1" thickBot="1" x14ac:dyDescent="0.25">
      <c r="A5" s="315" t="s">
        <v>281</v>
      </c>
      <c r="B5" s="316"/>
      <c r="C5" s="316"/>
      <c r="D5" s="316"/>
      <c r="E5" s="316"/>
      <c r="F5" s="316"/>
      <c r="G5" s="316"/>
      <c r="H5" s="316"/>
      <c r="I5" s="316"/>
      <c r="J5" s="316"/>
      <c r="K5" s="317"/>
      <c r="N5" s="312" t="s">
        <v>284</v>
      </c>
      <c r="O5" s="313"/>
      <c r="P5" s="313"/>
      <c r="Q5" s="314"/>
    </row>
    <row r="6" spans="1:57" ht="48" thickBot="1" x14ac:dyDescent="0.25">
      <c r="A6" s="227" t="s">
        <v>5</v>
      </c>
      <c r="B6" s="228" t="s">
        <v>6</v>
      </c>
      <c r="C6" s="229" t="s">
        <v>7</v>
      </c>
      <c r="D6" s="230" t="s">
        <v>9</v>
      </c>
      <c r="E6" s="230" t="s">
        <v>10</v>
      </c>
      <c r="F6" s="231" t="s">
        <v>11</v>
      </c>
      <c r="G6" s="230" t="s">
        <v>12</v>
      </c>
      <c r="H6" s="232" t="s">
        <v>13</v>
      </c>
      <c r="I6" s="233" t="s">
        <v>282</v>
      </c>
      <c r="J6" s="234" t="s">
        <v>283</v>
      </c>
      <c r="K6" s="235" t="s">
        <v>292</v>
      </c>
      <c r="L6" s="15"/>
      <c r="M6" s="15"/>
      <c r="N6" s="214" t="s">
        <v>285</v>
      </c>
      <c r="O6" s="214" t="s">
        <v>286</v>
      </c>
      <c r="P6" s="215" t="s">
        <v>287</v>
      </c>
      <c r="Q6" s="215" t="s">
        <v>288</v>
      </c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</row>
    <row r="7" spans="1:57" ht="25.5" x14ac:dyDescent="0.2">
      <c r="A7" s="190" t="s">
        <v>75</v>
      </c>
      <c r="B7" s="191" t="s">
        <v>76</v>
      </c>
      <c r="C7" s="192">
        <f>(1192.8+54.1+1168.56+214.2+243.6+677.12+236.5+264.88+187.68+213.44+1374.56+300+440.64+246.84+280.72)*0.617*1.1</f>
        <v>4815.8108679999996</v>
      </c>
      <c r="D7" s="193">
        <v>14.83</v>
      </c>
      <c r="E7" s="194">
        <f t="shared" ref="E7:E38" si="0">D7*C7</f>
        <v>71418.475172439998</v>
      </c>
      <c r="F7" s="195">
        <v>0.2495</v>
      </c>
      <c r="G7" s="194">
        <f t="shared" ref="G7:G38" si="1">D7+(D7*F7)</f>
        <v>18.530085</v>
      </c>
      <c r="H7" s="205">
        <f t="shared" ref="H7:H38" si="2">G7*C7</f>
        <v>89237.38472796377</v>
      </c>
      <c r="I7" s="212">
        <f>H7/$H$39</f>
        <v>0.19323544454309313</v>
      </c>
      <c r="J7" s="211">
        <f>I7</f>
        <v>0.19323544454309313</v>
      </c>
      <c r="K7" s="220" t="str">
        <f>IF(J7&lt;=$O$7,"A",IF(J7&lt;=$O$8,"B","C"))</f>
        <v>A</v>
      </c>
      <c r="L7" s="26"/>
      <c r="M7" s="26"/>
      <c r="N7" s="216" t="s">
        <v>289</v>
      </c>
      <c r="O7" s="217">
        <v>0.85</v>
      </c>
      <c r="P7" s="218">
        <f>COUNTIF($K$7:$K$38,N7)/COUNTA($K$7:$K$38)</f>
        <v>0.3125</v>
      </c>
      <c r="Q7" s="219">
        <f>SUMIF($K$7:$K$38,N7,$I$7:$I$38)</f>
        <v>0.83901041932125908</v>
      </c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</row>
    <row r="8" spans="1:57" ht="25.5" customHeight="1" x14ac:dyDescent="0.2">
      <c r="A8" s="196" t="s">
        <v>75</v>
      </c>
      <c r="B8" s="18" t="s">
        <v>76</v>
      </c>
      <c r="C8" s="21">
        <f>(1101.92+1075.68+54.1+197.88+225.04+771.48+300+198.52+138.72+157.76+390.08+236.5+156.52+108.12+122.96)*0.617*1.1</f>
        <v>3553.1845360000007</v>
      </c>
      <c r="D8" s="188">
        <v>14.83</v>
      </c>
      <c r="E8" s="23">
        <f t="shared" si="0"/>
        <v>52693.726668880008</v>
      </c>
      <c r="F8" s="24">
        <v>0.2495</v>
      </c>
      <c r="G8" s="23">
        <f t="shared" si="1"/>
        <v>18.530085</v>
      </c>
      <c r="H8" s="206">
        <f t="shared" si="2"/>
        <v>65840.811472765577</v>
      </c>
      <c r="I8" s="212">
        <f t="shared" ref="I8:I38" si="3">H8/$H$39</f>
        <v>0.14257229201418969</v>
      </c>
      <c r="J8" s="211">
        <f>I8+J7</f>
        <v>0.3358077365572828</v>
      </c>
      <c r="K8" s="220" t="str">
        <f t="shared" ref="K8:K38" si="4">IF(J8&lt;=$O$7,"A",IF(J8&lt;=$O$8,"B","C"))</f>
        <v>A</v>
      </c>
      <c r="L8" s="26"/>
      <c r="M8" s="26"/>
      <c r="N8" s="216" t="s">
        <v>290</v>
      </c>
      <c r="O8" s="217">
        <v>0.95</v>
      </c>
      <c r="P8" s="218">
        <f>COUNTIF($K$7:$K$38,N8)/COUNTA($K$7:$K$38)</f>
        <v>0.1875</v>
      </c>
      <c r="Q8" s="219">
        <f t="shared" ref="Q8:Q9" si="5">SUMIF($K$7:$K$38,N8,$I$7:$I$38)</f>
        <v>0.11097053002883028</v>
      </c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</row>
    <row r="9" spans="1:57" ht="49.5" customHeight="1" x14ac:dyDescent="0.2">
      <c r="A9" s="196" t="s">
        <v>88</v>
      </c>
      <c r="B9" s="18" t="s">
        <v>89</v>
      </c>
      <c r="C9" s="21">
        <f>(10.75*18)</f>
        <v>193.5</v>
      </c>
      <c r="D9" s="188">
        <v>199.32</v>
      </c>
      <c r="E9" s="23">
        <f t="shared" si="0"/>
        <v>38568.42</v>
      </c>
      <c r="F9" s="24">
        <v>0.2495</v>
      </c>
      <c r="G9" s="23">
        <f t="shared" si="1"/>
        <v>249.05034000000001</v>
      </c>
      <c r="H9" s="206">
        <f t="shared" si="2"/>
        <v>48191.240790000003</v>
      </c>
      <c r="I9" s="212">
        <f t="shared" si="3"/>
        <v>0.10435375112714133</v>
      </c>
      <c r="J9" s="211">
        <f t="shared" ref="J9:J38" si="6">I9+J8</f>
        <v>0.44016148768442415</v>
      </c>
      <c r="K9" s="220" t="str">
        <f t="shared" si="4"/>
        <v>A</v>
      </c>
      <c r="L9" s="26"/>
      <c r="M9" s="26"/>
      <c r="N9" s="216" t="s">
        <v>291</v>
      </c>
      <c r="O9" s="217">
        <v>1</v>
      </c>
      <c r="P9" s="218">
        <f>COUNTIF($K$7:$K$38,N9)/COUNTA($K$7:$K$38)</f>
        <v>0.5</v>
      </c>
      <c r="Q9" s="219">
        <f t="shared" si="5"/>
        <v>5.0019050649910787E-2</v>
      </c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</row>
    <row r="10" spans="1:57" ht="51" x14ac:dyDescent="0.2">
      <c r="A10" s="197" t="s">
        <v>88</v>
      </c>
      <c r="B10" s="27" t="s">
        <v>89</v>
      </c>
      <c r="C10" s="30">
        <f>10.75*14</f>
        <v>150.5</v>
      </c>
      <c r="D10" s="189">
        <v>199.32</v>
      </c>
      <c r="E10" s="32">
        <f t="shared" si="0"/>
        <v>29997.66</v>
      </c>
      <c r="F10" s="24">
        <v>0.2495</v>
      </c>
      <c r="G10" s="32">
        <f t="shared" si="1"/>
        <v>249.05034000000001</v>
      </c>
      <c r="H10" s="207">
        <f t="shared" si="2"/>
        <v>37482.07617</v>
      </c>
      <c r="I10" s="212">
        <f t="shared" si="3"/>
        <v>8.1164028654443249E-2</v>
      </c>
      <c r="J10" s="211">
        <f t="shared" si="6"/>
        <v>0.52132551633886737</v>
      </c>
      <c r="K10" s="220" t="str">
        <f t="shared" si="4"/>
        <v>A</v>
      </c>
      <c r="L10" s="26"/>
      <c r="M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</row>
    <row r="11" spans="1:57" ht="14.25" x14ac:dyDescent="0.2">
      <c r="A11" s="197" t="s">
        <v>126</v>
      </c>
      <c r="B11" s="27" t="s">
        <v>89</v>
      </c>
      <c r="C11" s="30">
        <f>10.31*18</f>
        <v>185.58</v>
      </c>
      <c r="D11" s="189">
        <f>'COMPOSIÇÃO PRÓPRIA '!J58</f>
        <v>159.86828599999998</v>
      </c>
      <c r="E11" s="32">
        <f t="shared" si="0"/>
        <v>29668.356515879997</v>
      </c>
      <c r="F11" s="24">
        <v>0.2495</v>
      </c>
      <c r="G11" s="32">
        <f t="shared" si="1"/>
        <v>199.75542335699998</v>
      </c>
      <c r="H11" s="207">
        <f t="shared" si="2"/>
        <v>37070.611466592061</v>
      </c>
      <c r="I11" s="212">
        <f t="shared" si="3"/>
        <v>8.0273039243231717E-2</v>
      </c>
      <c r="J11" s="211">
        <f t="shared" si="6"/>
        <v>0.60159855558209907</v>
      </c>
      <c r="K11" s="220" t="str">
        <f t="shared" si="4"/>
        <v>A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</row>
    <row r="12" spans="1:57" ht="25.5" x14ac:dyDescent="0.2">
      <c r="A12" s="197" t="s">
        <v>80</v>
      </c>
      <c r="B12" s="27" t="s">
        <v>39</v>
      </c>
      <c r="C12" s="30">
        <f>((((5+6)*10.6)/2)+(((5+1)*12.04)/2)+(((1+6)*9.24)/2))*0.26</f>
        <v>32.957599999999999</v>
      </c>
      <c r="D12" s="189">
        <v>686.68</v>
      </c>
      <c r="E12" s="32">
        <f t="shared" si="0"/>
        <v>22631.324767999999</v>
      </c>
      <c r="F12" s="24">
        <v>0.2495</v>
      </c>
      <c r="G12" s="32">
        <f t="shared" si="1"/>
        <v>858.0066599999999</v>
      </c>
      <c r="H12" s="207">
        <f t="shared" si="2"/>
        <v>28277.840297615996</v>
      </c>
      <c r="I12" s="212">
        <f t="shared" si="3"/>
        <v>6.1233092579819993E-2</v>
      </c>
      <c r="J12" s="211">
        <f t="shared" si="6"/>
        <v>0.66283164816191908</v>
      </c>
      <c r="K12" s="220" t="str">
        <f t="shared" si="4"/>
        <v>A</v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</row>
    <row r="13" spans="1:57" ht="72" customHeight="1" x14ac:dyDescent="0.2">
      <c r="A13" s="197" t="s">
        <v>101</v>
      </c>
      <c r="B13" s="27" t="s">
        <v>76</v>
      </c>
      <c r="C13" s="30">
        <f>(96.84+84.84+188.16+38.9+92.88+24+65.8+9.27+151.8+141.12+24+6.94)*1.578*1.1</f>
        <v>1604.8338900000001</v>
      </c>
      <c r="D13" s="189">
        <v>12.09</v>
      </c>
      <c r="E13" s="32">
        <f t="shared" si="0"/>
        <v>19402.441730099999</v>
      </c>
      <c r="F13" s="24">
        <v>0.2495</v>
      </c>
      <c r="G13" s="32">
        <f t="shared" si="1"/>
        <v>15.106455</v>
      </c>
      <c r="H13" s="207">
        <f t="shared" si="2"/>
        <v>24243.350941759953</v>
      </c>
      <c r="I13" s="212">
        <f t="shared" si="3"/>
        <v>5.2496772633198789E-2</v>
      </c>
      <c r="J13" s="211">
        <f t="shared" si="6"/>
        <v>0.71532842079511783</v>
      </c>
      <c r="K13" s="220" t="str">
        <f t="shared" si="4"/>
        <v>A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</row>
    <row r="14" spans="1:57" ht="47.25" customHeight="1" x14ac:dyDescent="0.2">
      <c r="A14" s="197" t="s">
        <v>80</v>
      </c>
      <c r="B14" s="27" t="s">
        <v>39</v>
      </c>
      <c r="C14" s="30">
        <f>((((5+6)*9.74)/2)+(((5+1)*5.37)/2)+(((1+6)*6.87)/2))*0.26</f>
        <v>24.368500000000004</v>
      </c>
      <c r="D14" s="189">
        <v>686.68</v>
      </c>
      <c r="E14" s="32">
        <f t="shared" si="0"/>
        <v>16733.361580000001</v>
      </c>
      <c r="F14" s="24">
        <v>0.2495</v>
      </c>
      <c r="G14" s="32">
        <f t="shared" si="1"/>
        <v>858.0066599999999</v>
      </c>
      <c r="H14" s="207">
        <f t="shared" si="2"/>
        <v>20908.335294210003</v>
      </c>
      <c r="I14" s="212">
        <f t="shared" si="3"/>
        <v>4.5275099416563824E-2</v>
      </c>
      <c r="J14" s="211">
        <f t="shared" si="6"/>
        <v>0.76060352021168165</v>
      </c>
      <c r="K14" s="220" t="str">
        <f t="shared" si="4"/>
        <v>A</v>
      </c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</row>
    <row r="15" spans="1:57" ht="25.5" x14ac:dyDescent="0.2">
      <c r="A15" s="197" t="s">
        <v>101</v>
      </c>
      <c r="B15" s="27" t="s">
        <v>76</v>
      </c>
      <c r="C15" s="30">
        <f>(84.84+188.16+89.1+26.96+141.12+6.89+49.21+83.16+69.84)*1.578*1.1</f>
        <v>1283.2422240000003</v>
      </c>
      <c r="D15" s="189">
        <v>12.09</v>
      </c>
      <c r="E15" s="32">
        <f t="shared" si="0"/>
        <v>15514.398488160003</v>
      </c>
      <c r="F15" s="24">
        <v>0.2495</v>
      </c>
      <c r="G15" s="32">
        <f t="shared" si="1"/>
        <v>15.106455</v>
      </c>
      <c r="H15" s="207">
        <f t="shared" si="2"/>
        <v>19385.240910955927</v>
      </c>
      <c r="I15" s="212">
        <f t="shared" si="3"/>
        <v>4.1976976985853884E-2</v>
      </c>
      <c r="J15" s="211">
        <f t="shared" si="6"/>
        <v>0.80258049719753555</v>
      </c>
      <c r="K15" s="220" t="str">
        <f t="shared" si="4"/>
        <v>A</v>
      </c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</row>
    <row r="16" spans="1:57" ht="38.25" x14ac:dyDescent="0.2">
      <c r="A16" s="197" t="s">
        <v>105</v>
      </c>
      <c r="B16" s="27" t="s">
        <v>20</v>
      </c>
      <c r="C16" s="30">
        <f>(2*3.14*0.01*7805.2)+(2*3.14*0.016*1017.01)</f>
        <v>592.35572480000008</v>
      </c>
      <c r="D16" s="189">
        <v>22.73</v>
      </c>
      <c r="E16" s="32">
        <f t="shared" si="0"/>
        <v>13464.245624704003</v>
      </c>
      <c r="F16" s="24">
        <v>0.2495</v>
      </c>
      <c r="G16" s="32">
        <f t="shared" si="1"/>
        <v>28.401135</v>
      </c>
      <c r="H16" s="207">
        <f t="shared" si="2"/>
        <v>16823.574908067651</v>
      </c>
      <c r="I16" s="212">
        <f t="shared" si="3"/>
        <v>3.6429922123723577E-2</v>
      </c>
      <c r="J16" s="211">
        <f t="shared" si="6"/>
        <v>0.83901041932125908</v>
      </c>
      <c r="K16" s="220" t="str">
        <f t="shared" si="4"/>
        <v>A</v>
      </c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</row>
    <row r="17" spans="1:57" s="43" customFormat="1" ht="19.5" customHeight="1" x14ac:dyDescent="0.2">
      <c r="A17" s="198" t="s">
        <v>64</v>
      </c>
      <c r="B17" s="36" t="s">
        <v>65</v>
      </c>
      <c r="C17" s="37">
        <f>18+14</f>
        <v>32</v>
      </c>
      <c r="D17" s="189">
        <f>'COMPOSIÇÃO PRÓPRIA '!J45</f>
        <v>408.37200000000001</v>
      </c>
      <c r="E17" s="39">
        <f t="shared" si="0"/>
        <v>13067.904</v>
      </c>
      <c r="F17" s="40">
        <v>0.2495</v>
      </c>
      <c r="G17" s="39">
        <f t="shared" si="1"/>
        <v>510.26081399999998</v>
      </c>
      <c r="H17" s="208">
        <f t="shared" si="2"/>
        <v>16328.346047999999</v>
      </c>
      <c r="I17" s="212">
        <f t="shared" si="3"/>
        <v>3.5357549045809358E-2</v>
      </c>
      <c r="J17" s="211">
        <f t="shared" si="6"/>
        <v>0.87436796836706843</v>
      </c>
      <c r="K17" s="220" t="str">
        <f t="shared" si="4"/>
        <v>B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</row>
    <row r="18" spans="1:57" ht="38.25" x14ac:dyDescent="0.2">
      <c r="A18" s="197" t="s">
        <v>105</v>
      </c>
      <c r="B18" s="27" t="s">
        <v>20</v>
      </c>
      <c r="C18" s="30">
        <f>(2*3.14*0.01*5758.81)+(2*3.14*0.016*813.21)</f>
        <v>443.3646088000001</v>
      </c>
      <c r="D18" s="189">
        <v>22.73</v>
      </c>
      <c r="E18" s="32">
        <f t="shared" si="0"/>
        <v>10077.677558024003</v>
      </c>
      <c r="F18" s="24">
        <v>0.2495</v>
      </c>
      <c r="G18" s="32">
        <f t="shared" si="1"/>
        <v>28.401135</v>
      </c>
      <c r="H18" s="207">
        <f t="shared" si="2"/>
        <v>12592.058108750991</v>
      </c>
      <c r="I18" s="212">
        <f t="shared" si="3"/>
        <v>2.7266957158981728E-2</v>
      </c>
      <c r="J18" s="211">
        <f t="shared" si="6"/>
        <v>0.90163492552605018</v>
      </c>
      <c r="K18" s="220" t="str">
        <f t="shared" si="4"/>
        <v>B</v>
      </c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</row>
    <row r="19" spans="1:57" ht="57.75" customHeight="1" x14ac:dyDescent="0.2">
      <c r="A19" s="197" t="s">
        <v>29</v>
      </c>
      <c r="B19" s="27" t="s">
        <v>20</v>
      </c>
      <c r="C19" s="47">
        <f>2.5*3</f>
        <v>7.5</v>
      </c>
      <c r="D19" s="189">
        <v>943.86</v>
      </c>
      <c r="E19" s="48">
        <f t="shared" si="0"/>
        <v>7078.95</v>
      </c>
      <c r="F19" s="24">
        <v>0.2495</v>
      </c>
      <c r="G19" s="48">
        <f t="shared" si="1"/>
        <v>1179.3530700000001</v>
      </c>
      <c r="H19" s="209">
        <f t="shared" si="2"/>
        <v>8845.1480250000004</v>
      </c>
      <c r="I19" s="212">
        <f t="shared" si="3"/>
        <v>1.9153363983836443E-2</v>
      </c>
      <c r="J19" s="211">
        <f t="shared" si="6"/>
        <v>0.92078828950988667</v>
      </c>
      <c r="K19" s="220" t="str">
        <f t="shared" si="4"/>
        <v>B</v>
      </c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</row>
    <row r="20" spans="1:57" ht="45.75" customHeight="1" x14ac:dyDescent="0.2">
      <c r="A20" s="197" t="s">
        <v>56</v>
      </c>
      <c r="B20" s="27" t="s">
        <v>20</v>
      </c>
      <c r="C20" s="47">
        <f>C12</f>
        <v>32.957599999999999</v>
      </c>
      <c r="D20" s="189">
        <v>24.89</v>
      </c>
      <c r="E20" s="48">
        <f t="shared" si="0"/>
        <v>820.31466399999999</v>
      </c>
      <c r="F20" s="24">
        <v>0.2495</v>
      </c>
      <c r="G20" s="48">
        <f t="shared" si="1"/>
        <v>31.100055000000001</v>
      </c>
      <c r="H20" s="209">
        <f t="shared" si="2"/>
        <v>1024.983172668</v>
      </c>
      <c r="I20" s="212">
        <f t="shared" si="3"/>
        <v>2.2195078847668777E-3</v>
      </c>
      <c r="J20" s="211">
        <f t="shared" si="6"/>
        <v>0.92300779739465355</v>
      </c>
      <c r="K20" s="220" t="str">
        <f t="shared" si="4"/>
        <v>B</v>
      </c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</row>
    <row r="21" spans="1:57" ht="38.25" x14ac:dyDescent="0.2">
      <c r="A21" s="197" t="s">
        <v>60</v>
      </c>
      <c r="B21" s="27" t="s">
        <v>52</v>
      </c>
      <c r="C21" s="47">
        <f>((32.96+24.37)*30)</f>
        <v>1719.8999999999999</v>
      </c>
      <c r="D21" s="189">
        <v>3.16</v>
      </c>
      <c r="E21" s="48">
        <f t="shared" si="0"/>
        <v>5434.884</v>
      </c>
      <c r="F21" s="24">
        <v>0.2495</v>
      </c>
      <c r="G21" s="48">
        <f t="shared" si="1"/>
        <v>3.94842</v>
      </c>
      <c r="H21" s="209">
        <f t="shared" si="2"/>
        <v>6790.8875579999994</v>
      </c>
      <c r="I21" s="212">
        <f t="shared" si="3"/>
        <v>1.4705049684194537E-2</v>
      </c>
      <c r="J21" s="211">
        <f t="shared" si="6"/>
        <v>0.93771284707884806</v>
      </c>
      <c r="K21" s="220" t="str">
        <f t="shared" si="4"/>
        <v>B</v>
      </c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</row>
    <row r="22" spans="1:57" ht="51" x14ac:dyDescent="0.2">
      <c r="A22" s="197" t="s">
        <v>97</v>
      </c>
      <c r="B22" s="27" t="s">
        <v>20</v>
      </c>
      <c r="C22" s="47">
        <f>((((5+6)*10.6)/2)+(((5+1)*12.04)/2)+(((1+6)*9.24)/2))</f>
        <v>126.75999999999999</v>
      </c>
      <c r="D22" s="189">
        <v>35.770000000000003</v>
      </c>
      <c r="E22" s="48">
        <f t="shared" si="0"/>
        <v>4534.2052000000003</v>
      </c>
      <c r="F22" s="24">
        <v>0.2495</v>
      </c>
      <c r="G22" s="48">
        <f t="shared" si="1"/>
        <v>44.694615000000006</v>
      </c>
      <c r="H22" s="209">
        <f t="shared" si="2"/>
        <v>5665.4893974000006</v>
      </c>
      <c r="I22" s="212">
        <f t="shared" si="3"/>
        <v>1.2268102271241345E-2</v>
      </c>
      <c r="J22" s="211">
        <f t="shared" si="6"/>
        <v>0.94998094935008937</v>
      </c>
      <c r="K22" s="220" t="str">
        <f t="shared" si="4"/>
        <v>B</v>
      </c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</row>
    <row r="23" spans="1:57" ht="51" x14ac:dyDescent="0.2">
      <c r="A23" s="197" t="s">
        <v>120</v>
      </c>
      <c r="B23" s="27" t="s">
        <v>20</v>
      </c>
      <c r="C23" s="30">
        <f>((((5+6)*9.74)/2)+(((5+1)*5.37)/2)+(((1+6)*6.87)/2))</f>
        <v>93.725000000000009</v>
      </c>
      <c r="D23" s="189">
        <v>35.770000000000003</v>
      </c>
      <c r="E23" s="32">
        <f t="shared" si="0"/>
        <v>3352.5432500000006</v>
      </c>
      <c r="F23" s="24">
        <v>0.2495</v>
      </c>
      <c r="G23" s="32">
        <f t="shared" si="1"/>
        <v>44.694615000000006</v>
      </c>
      <c r="H23" s="207">
        <f t="shared" si="2"/>
        <v>4189.0027908750008</v>
      </c>
      <c r="I23" s="212">
        <f t="shared" si="3"/>
        <v>9.0709047441787233E-3</v>
      </c>
      <c r="J23" s="211">
        <f t="shared" si="6"/>
        <v>0.95905185409426807</v>
      </c>
      <c r="K23" s="220" t="str">
        <f t="shared" si="4"/>
        <v>C</v>
      </c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</row>
    <row r="24" spans="1:57" ht="25.5" x14ac:dyDescent="0.2">
      <c r="A24" s="197" t="s">
        <v>134</v>
      </c>
      <c r="B24" s="27" t="s">
        <v>89</v>
      </c>
      <c r="C24" s="30">
        <f>(11.67+10.01+9.06+5.11+9.08+6.5)</f>
        <v>51.43</v>
      </c>
      <c r="D24" s="189">
        <v>43.83</v>
      </c>
      <c r="E24" s="32">
        <f t="shared" si="0"/>
        <v>2254.1768999999999</v>
      </c>
      <c r="F24" s="24">
        <v>0.2495</v>
      </c>
      <c r="G24" s="32">
        <f t="shared" si="1"/>
        <v>54.765585000000002</v>
      </c>
      <c r="H24" s="207">
        <f t="shared" si="2"/>
        <v>2816.5940365500001</v>
      </c>
      <c r="I24" s="212">
        <f t="shared" si="3"/>
        <v>6.0990783449037045E-3</v>
      </c>
      <c r="J24" s="211">
        <f t="shared" si="6"/>
        <v>0.96515093243917183</v>
      </c>
      <c r="K24" s="220" t="str">
        <f t="shared" si="4"/>
        <v>C</v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</row>
    <row r="25" spans="1:57" ht="69" customHeight="1" x14ac:dyDescent="0.2">
      <c r="A25" s="197" t="s">
        <v>43</v>
      </c>
      <c r="B25" s="27" t="s">
        <v>39</v>
      </c>
      <c r="C25" s="30">
        <f>C24*1.1</f>
        <v>56.573000000000008</v>
      </c>
      <c r="D25" s="189">
        <v>9.16</v>
      </c>
      <c r="E25" s="32">
        <f t="shared" si="0"/>
        <v>518.20868000000007</v>
      </c>
      <c r="F25" s="24">
        <v>0.2495</v>
      </c>
      <c r="G25" s="32">
        <f t="shared" si="1"/>
        <v>11.44542</v>
      </c>
      <c r="H25" s="207">
        <f t="shared" si="2"/>
        <v>647.5017456600001</v>
      </c>
      <c r="I25" s="212">
        <f t="shared" si="3"/>
        <v>1.4021061693645844E-3</v>
      </c>
      <c r="J25" s="211">
        <f t="shared" si="6"/>
        <v>0.96655303860853636</v>
      </c>
      <c r="K25" s="220" t="str">
        <f t="shared" si="4"/>
        <v>C</v>
      </c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</row>
    <row r="26" spans="1:57" ht="38.25" x14ac:dyDescent="0.2">
      <c r="A26" s="197" t="s">
        <v>51</v>
      </c>
      <c r="B26" s="27" t="s">
        <v>52</v>
      </c>
      <c r="C26" s="30">
        <f>(220.49*3)</f>
        <v>661.47</v>
      </c>
      <c r="D26" s="189">
        <v>2.88</v>
      </c>
      <c r="E26" s="32">
        <f t="shared" si="0"/>
        <v>1905.0336</v>
      </c>
      <c r="F26" s="24">
        <v>0.2495</v>
      </c>
      <c r="G26" s="32">
        <f t="shared" si="1"/>
        <v>3.59856</v>
      </c>
      <c r="H26" s="207">
        <f t="shared" si="2"/>
        <v>2380.3394831999999</v>
      </c>
      <c r="I26" s="212">
        <f t="shared" si="3"/>
        <v>5.1544087671530773E-3</v>
      </c>
      <c r="J26" s="211">
        <f t="shared" si="6"/>
        <v>0.97170744737568948</v>
      </c>
      <c r="K26" s="220" t="str">
        <f t="shared" si="4"/>
        <v>C</v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</row>
    <row r="27" spans="1:57" ht="56.25" customHeight="1" x14ac:dyDescent="0.2">
      <c r="A27" s="197" t="s">
        <v>47</v>
      </c>
      <c r="B27" s="27" t="s">
        <v>20</v>
      </c>
      <c r="C27" s="30">
        <f>(2.86*1.5)+(8*1.5)+(2.91*1.68)+(8*1.5)+(2.99*1.68)+(16*1.5)+(2.93*1.68)+(16*1.5)+(3.14*1.64)+(16*1.5)+(2.96*1.68)+(16*1.5)+(1.5*1.7)</f>
        <v>151.79680000000002</v>
      </c>
      <c r="D27" s="189">
        <v>12.28</v>
      </c>
      <c r="E27" s="32">
        <f t="shared" si="0"/>
        <v>1864.0647040000001</v>
      </c>
      <c r="F27" s="24">
        <v>0.2495</v>
      </c>
      <c r="G27" s="32">
        <f t="shared" si="1"/>
        <v>15.343859999999999</v>
      </c>
      <c r="H27" s="207">
        <f t="shared" si="2"/>
        <v>2329.1488476480004</v>
      </c>
      <c r="I27" s="212">
        <f t="shared" si="3"/>
        <v>5.0435600993274906E-3</v>
      </c>
      <c r="J27" s="211">
        <f t="shared" si="6"/>
        <v>0.97675100747501697</v>
      </c>
      <c r="K27" s="220" t="str">
        <f t="shared" si="4"/>
        <v>C</v>
      </c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</row>
    <row r="28" spans="1:57" ht="56.25" customHeight="1" x14ac:dyDescent="0.2">
      <c r="A28" s="197" t="s">
        <v>93</v>
      </c>
      <c r="B28" s="27" t="s">
        <v>89</v>
      </c>
      <c r="C28" s="30">
        <f>(5.28+6.13)</f>
        <v>11.41</v>
      </c>
      <c r="D28" s="189">
        <v>103.15</v>
      </c>
      <c r="E28" s="32">
        <f t="shared" si="0"/>
        <v>1176.9415000000001</v>
      </c>
      <c r="F28" s="24">
        <v>0.2495</v>
      </c>
      <c r="G28" s="32">
        <f t="shared" si="1"/>
        <v>128.88592500000001</v>
      </c>
      <c r="H28" s="207">
        <f t="shared" si="2"/>
        <v>1470.5884042500002</v>
      </c>
      <c r="I28" s="212">
        <f t="shared" si="3"/>
        <v>3.1844255062095988E-3</v>
      </c>
      <c r="J28" s="211">
        <f t="shared" si="6"/>
        <v>0.97993543298122654</v>
      </c>
      <c r="K28" s="220" t="str">
        <f t="shared" si="4"/>
        <v>C</v>
      </c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</row>
    <row r="29" spans="1:57" ht="50.25" customHeight="1" x14ac:dyDescent="0.2">
      <c r="A29" s="197" t="s">
        <v>38</v>
      </c>
      <c r="B29" s="27" t="s">
        <v>39</v>
      </c>
      <c r="C29" s="30">
        <f>C25*1</f>
        <v>56.573000000000008</v>
      </c>
      <c r="D29" s="189">
        <v>5.05</v>
      </c>
      <c r="E29" s="32">
        <f t="shared" si="0"/>
        <v>285.69365000000005</v>
      </c>
      <c r="F29" s="24">
        <v>0.2495</v>
      </c>
      <c r="G29" s="32">
        <f t="shared" si="1"/>
        <v>6.3099749999999997</v>
      </c>
      <c r="H29" s="207">
        <f t="shared" si="2"/>
        <v>356.97421567500004</v>
      </c>
      <c r="I29" s="212">
        <f t="shared" si="3"/>
        <v>7.7299521345973259E-4</v>
      </c>
      <c r="J29" s="211">
        <f t="shared" si="6"/>
        <v>0.98070842819468629</v>
      </c>
      <c r="K29" s="220" t="str">
        <f t="shared" si="4"/>
        <v>C</v>
      </c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</row>
    <row r="30" spans="1:57" ht="14.25" x14ac:dyDescent="0.2">
      <c r="A30" s="197" t="s">
        <v>130</v>
      </c>
      <c r="B30" s="27" t="s">
        <v>89</v>
      </c>
      <c r="C30" s="30">
        <f>1.06*18</f>
        <v>19.080000000000002</v>
      </c>
      <c r="D30" s="189">
        <f>'COMPOSIÇÃO PRÓPRIA '!J69</f>
        <v>57.247992999999994</v>
      </c>
      <c r="E30" s="32">
        <f t="shared" si="0"/>
        <v>1092.2917064400001</v>
      </c>
      <c r="F30" s="24">
        <v>0.2495</v>
      </c>
      <c r="G30" s="32">
        <f t="shared" si="1"/>
        <v>71.531367253499994</v>
      </c>
      <c r="H30" s="207">
        <f t="shared" si="2"/>
        <v>1364.8184871967801</v>
      </c>
      <c r="I30" s="212">
        <f t="shared" si="3"/>
        <v>2.9553903657987615E-3</v>
      </c>
      <c r="J30" s="211">
        <f t="shared" si="6"/>
        <v>0.98366381856048501</v>
      </c>
      <c r="K30" s="220" t="str">
        <f t="shared" si="4"/>
        <v>C</v>
      </c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</row>
    <row r="31" spans="1:57" ht="51" x14ac:dyDescent="0.2">
      <c r="A31" s="197" t="s">
        <v>138</v>
      </c>
      <c r="B31" s="27" t="s">
        <v>139</v>
      </c>
      <c r="C31" s="30">
        <v>4</v>
      </c>
      <c r="D31" s="189">
        <v>270.94</v>
      </c>
      <c r="E31" s="32">
        <f t="shared" si="0"/>
        <v>1083.76</v>
      </c>
      <c r="F31" s="24">
        <v>0.2495</v>
      </c>
      <c r="G31" s="32">
        <f t="shared" si="1"/>
        <v>338.53953000000001</v>
      </c>
      <c r="H31" s="207">
        <f t="shared" si="2"/>
        <v>1354.1581200000001</v>
      </c>
      <c r="I31" s="212">
        <f t="shared" si="3"/>
        <v>2.9323063097101382E-3</v>
      </c>
      <c r="J31" s="211">
        <f t="shared" si="6"/>
        <v>0.9865961248701951</v>
      </c>
      <c r="K31" s="220" t="str">
        <f t="shared" si="4"/>
        <v>C</v>
      </c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</row>
    <row r="32" spans="1:57" ht="38.25" x14ac:dyDescent="0.2">
      <c r="A32" s="197" t="s">
        <v>93</v>
      </c>
      <c r="B32" s="27" t="s">
        <v>89</v>
      </c>
      <c r="C32" s="30">
        <f>6.14+4.2</f>
        <v>10.34</v>
      </c>
      <c r="D32" s="189">
        <v>103.15</v>
      </c>
      <c r="E32" s="32">
        <f t="shared" si="0"/>
        <v>1066.5710000000001</v>
      </c>
      <c r="F32" s="24">
        <v>0.2495</v>
      </c>
      <c r="G32" s="32">
        <f t="shared" si="1"/>
        <v>128.88592500000001</v>
      </c>
      <c r="H32" s="207">
        <f t="shared" si="2"/>
        <v>1332.6804645000002</v>
      </c>
      <c r="I32" s="212">
        <f t="shared" si="3"/>
        <v>2.8857983991417398E-3</v>
      </c>
      <c r="J32" s="211">
        <f t="shared" si="6"/>
        <v>0.98948192326933682</v>
      </c>
      <c r="K32" s="220" t="str">
        <f t="shared" si="4"/>
        <v>C</v>
      </c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</row>
    <row r="33" spans="1:57" ht="14.25" x14ac:dyDescent="0.2">
      <c r="A33" s="197" t="s">
        <v>25</v>
      </c>
      <c r="B33" s="27" t="s">
        <v>20</v>
      </c>
      <c r="C33" s="30">
        <f>1.8*1.1</f>
        <v>1.9800000000000002</v>
      </c>
      <c r="D33" s="189">
        <f>'COMPOSIÇÃO PRÓPRIA '!J23</f>
        <v>465.8075</v>
      </c>
      <c r="E33" s="32">
        <f t="shared" si="0"/>
        <v>922.29885000000013</v>
      </c>
      <c r="F33" s="24">
        <v>0.2495</v>
      </c>
      <c r="G33" s="32">
        <f t="shared" si="1"/>
        <v>582.02647124999999</v>
      </c>
      <c r="H33" s="207">
        <f t="shared" si="2"/>
        <v>1152.4124130750001</v>
      </c>
      <c r="I33" s="212">
        <f t="shared" si="3"/>
        <v>2.4954443209690377E-3</v>
      </c>
      <c r="J33" s="211">
        <f t="shared" si="6"/>
        <v>0.99197736759030586</v>
      </c>
      <c r="K33" s="220" t="str">
        <f t="shared" si="4"/>
        <v>C</v>
      </c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</row>
    <row r="34" spans="1:57" ht="25.5" x14ac:dyDescent="0.2">
      <c r="A34" s="197" t="s">
        <v>19</v>
      </c>
      <c r="B34" s="27" t="s">
        <v>20</v>
      </c>
      <c r="C34" s="30">
        <f>((((5+6)*10.6)/2)+(((5+1)*12.04)/2)+(((1+6)*9.24)/2))+((((5+6)*9.74)/2)+(((5+1)*5.37)/2)+(((1+6)*6.87)/2))</f>
        <v>220.48500000000001</v>
      </c>
      <c r="D34" s="189">
        <v>2.69</v>
      </c>
      <c r="E34" s="32">
        <f t="shared" si="0"/>
        <v>593.10464999999999</v>
      </c>
      <c r="F34" s="24">
        <v>0.2495</v>
      </c>
      <c r="G34" s="32">
        <f t="shared" si="1"/>
        <v>3.3611550000000001</v>
      </c>
      <c r="H34" s="207">
        <f t="shared" si="2"/>
        <v>741.08426017500005</v>
      </c>
      <c r="I34" s="212">
        <f t="shared" si="3"/>
        <v>1.6047505974693872E-3</v>
      </c>
      <c r="J34" s="211">
        <f t="shared" si="6"/>
        <v>0.9935821181877752</v>
      </c>
      <c r="K34" s="220" t="str">
        <f t="shared" si="4"/>
        <v>C</v>
      </c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</row>
    <row r="35" spans="1:57" ht="39.75" customHeight="1" x14ac:dyDescent="0.2">
      <c r="A35" s="197" t="s">
        <v>84</v>
      </c>
      <c r="B35" s="27" t="s">
        <v>65</v>
      </c>
      <c r="C35" s="30">
        <v>18</v>
      </c>
      <c r="D35" s="189">
        <v>30.5</v>
      </c>
      <c r="E35" s="32">
        <f t="shared" si="0"/>
        <v>549</v>
      </c>
      <c r="F35" s="24">
        <v>0.2495</v>
      </c>
      <c r="G35" s="32">
        <f t="shared" si="1"/>
        <v>38.109749999999998</v>
      </c>
      <c r="H35" s="207">
        <f t="shared" si="2"/>
        <v>685.97550000000001</v>
      </c>
      <c r="I35" s="212">
        <f t="shared" si="3"/>
        <v>1.4854175869480934E-3</v>
      </c>
      <c r="J35" s="211">
        <f t="shared" si="6"/>
        <v>0.99506753577472329</v>
      </c>
      <c r="K35" s="220" t="str">
        <f t="shared" si="4"/>
        <v>C</v>
      </c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</row>
    <row r="36" spans="1:57" ht="39" customHeight="1" x14ac:dyDescent="0.2">
      <c r="A36" s="197" t="s">
        <v>84</v>
      </c>
      <c r="B36" s="27" t="s">
        <v>65</v>
      </c>
      <c r="C36" s="30">
        <v>14</v>
      </c>
      <c r="D36" s="189">
        <v>30.5</v>
      </c>
      <c r="E36" s="32">
        <f t="shared" si="0"/>
        <v>427</v>
      </c>
      <c r="F36" s="24">
        <v>0.2495</v>
      </c>
      <c r="G36" s="32">
        <f t="shared" si="1"/>
        <v>38.109749999999998</v>
      </c>
      <c r="H36" s="207">
        <f t="shared" si="2"/>
        <v>533.53649999999993</v>
      </c>
      <c r="I36" s="212">
        <f t="shared" si="3"/>
        <v>1.155324789848517E-3</v>
      </c>
      <c r="J36" s="211">
        <f t="shared" si="6"/>
        <v>0.99622286056457177</v>
      </c>
      <c r="K36" s="220" t="str">
        <f t="shared" si="4"/>
        <v>C</v>
      </c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</row>
    <row r="37" spans="1:57" ht="22.5" customHeight="1" x14ac:dyDescent="0.2">
      <c r="A37" s="197" t="s">
        <v>69</v>
      </c>
      <c r="B37" s="27" t="s">
        <v>20</v>
      </c>
      <c r="C37" s="30">
        <f>C26</f>
        <v>661.47</v>
      </c>
      <c r="D37" s="189">
        <v>1.69</v>
      </c>
      <c r="E37" s="32">
        <f t="shared" si="0"/>
        <v>1117.8842999999999</v>
      </c>
      <c r="F37" s="24">
        <v>0.2495</v>
      </c>
      <c r="G37" s="32">
        <f t="shared" si="1"/>
        <v>2.1116549999999998</v>
      </c>
      <c r="H37" s="207">
        <f t="shared" si="2"/>
        <v>1396.79643285</v>
      </c>
      <c r="I37" s="212">
        <f t="shared" si="3"/>
        <v>3.0246357001696878E-3</v>
      </c>
      <c r="J37" s="211">
        <f t="shared" si="6"/>
        <v>0.99924749626474141</v>
      </c>
      <c r="K37" s="220" t="str">
        <f t="shared" si="4"/>
        <v>C</v>
      </c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</row>
    <row r="38" spans="1:57" ht="39" thickBot="1" x14ac:dyDescent="0.25">
      <c r="A38" s="199" t="s">
        <v>33</v>
      </c>
      <c r="B38" s="200" t="s">
        <v>34</v>
      </c>
      <c r="C38" s="201">
        <f>( (94.35+193.08)*0.5)</f>
        <v>143.715</v>
      </c>
      <c r="D38" s="202">
        <f>'COMPOSIÇÃO PRÓPRIA '!J34</f>
        <v>1.9352200000000002</v>
      </c>
      <c r="E38" s="203">
        <f t="shared" si="0"/>
        <v>278.12014230000005</v>
      </c>
      <c r="F38" s="204">
        <v>0.2495</v>
      </c>
      <c r="G38" s="203">
        <f t="shared" si="1"/>
        <v>2.4180573900000004</v>
      </c>
      <c r="H38" s="210">
        <f t="shared" si="2"/>
        <v>347.51111780385008</v>
      </c>
      <c r="I38" s="213">
        <f t="shared" si="3"/>
        <v>7.5250373525851809E-4</v>
      </c>
      <c r="J38" s="204">
        <f t="shared" si="6"/>
        <v>0.99999999999999989</v>
      </c>
      <c r="K38" s="220" t="str">
        <f t="shared" si="4"/>
        <v>C</v>
      </c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</row>
    <row r="39" spans="1:57" s="226" customFormat="1" x14ac:dyDescent="0.2">
      <c r="A39" s="221"/>
      <c r="B39" s="222"/>
      <c r="C39" s="223"/>
      <c r="D39" s="224"/>
      <c r="E39" s="224"/>
      <c r="F39" s="225"/>
      <c r="G39" s="224"/>
      <c r="H39" s="224">
        <f>SUM(H7:H38)</f>
        <v>461806.50210920844</v>
      </c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</row>
  </sheetData>
  <sortState xmlns:xlrd2="http://schemas.microsoft.com/office/spreadsheetml/2017/richdata2" ref="A7:H38">
    <sortCondition descending="1" ref="H7:H38"/>
  </sortState>
  <mergeCells count="3">
    <mergeCell ref="N5:Q5"/>
    <mergeCell ref="A5:K5"/>
    <mergeCell ref="A1:K4"/>
  </mergeCells>
  <conditionalFormatting sqref="K7:K38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"B"</formula>
    </cfRule>
    <cfRule type="cellIs" dxfId="1" priority="4" operator="equal">
      <formula>"B"</formula>
    </cfRule>
    <cfRule type="cellIs" dxfId="0" priority="5" operator="equal">
      <formula>"A"</formula>
    </cfRule>
  </conditionalFormatting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</vt:lpstr>
      <vt:lpstr>PLANILHA ORÇAMENTÁRIA</vt:lpstr>
      <vt:lpstr>CRONOGRAMA</vt:lpstr>
      <vt:lpstr>TAD</vt:lpstr>
      <vt:lpstr>BDI NORMAL</vt:lpstr>
      <vt:lpstr>COMPOSIÇÃO PRÓPRIA </vt:lpstr>
      <vt:lpstr>CURVA ABC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pontes</dc:creator>
  <dc:description/>
  <cp:lastModifiedBy>Administrador</cp:lastModifiedBy>
  <cp:revision>33</cp:revision>
  <cp:lastPrinted>2021-04-15T15:48:03Z</cp:lastPrinted>
  <dcterms:created xsi:type="dcterms:W3CDTF">2020-07-21T23:51:38Z</dcterms:created>
  <dcterms:modified xsi:type="dcterms:W3CDTF">2022-08-15T00:52:13Z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